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" yWindow="2160" windowWidth="19420" windowHeight="8870" tabRatio="718" firstSheet="2" activeTab="4"/>
  </bookViews>
  <sheets>
    <sheet name="прил2 дох 2019-2021 " sheetId="4" state="hidden" r:id="rId1"/>
    <sheet name="прил4 дох 2020 21" sheetId="6" state="hidden" r:id="rId2"/>
    <sheet name="прил2 дох 2020-2022.." sheetId="27" r:id="rId3"/>
    <sheet name="прил2 дох 2020-2022." sheetId="15" state="hidden" r:id="rId4"/>
    <sheet name="прил 5 2020-2022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6 2020-2022.." sheetId="28" r:id="rId17"/>
    <sheet name="прил 6 2020-2022." sheetId="23" state="hidden" r:id="rId18"/>
    <sheet name="прил 7 2020-2022" sheetId="16" r:id="rId19"/>
    <sheet name="прил8 2020-2022 " sheetId="7" state="hidden" r:id="rId20"/>
    <sheet name="прил 13 " sheetId="8" state="hidden" r:id="rId21"/>
    <sheet name="прил 10 2020-2022" sheetId="9" state="hidden" r:id="rId22"/>
    <sheet name="прил 10 2020-2022." sheetId="26" r:id="rId23"/>
    <sheet name="прил 6 2019-2021. (2)" sheetId="18" state="hidden" r:id="rId24"/>
  </sheets>
  <definedNames>
    <definedName name="_xlnm._FilterDatabase" localSheetId="13" hidden="1">'прил 10 2018-19'!$A$20:$V$316</definedName>
    <definedName name="_xlnm._FilterDatabase" localSheetId="21" hidden="1">'прил 10 2020-2022'!#REF!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4" hidden="1">'прил 5 2020-2022.'!$A$195:$IV$340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3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17" hidden="1">'прил 6 2020-2022.'!$A$55:$AA$55</definedName>
    <definedName name="_xlnm._FilterDatabase" localSheetId="16" hidden="1">'прил 6 2020-2022..'!$A$61:$AA$61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1">'прил 10 2020-2022'!$A$17:$M$218</definedName>
    <definedName name="_xlnm.Print_Area" localSheetId="20">'прил 13 '!$A$1:$D$26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4">'прил 5 2020-2022.'!$A$1:$W$668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3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7">'прил 6 2020-2022.'!$A$1:$U$507</definedName>
    <definedName name="_xlnm.Print_Area" localSheetId="16">'прил 6 2020-2022..'!$A$1:$U$526</definedName>
    <definedName name="_xlnm.Print_Area" localSheetId="7">'прил 7 2017 '!$A$1:$O$517</definedName>
    <definedName name="_xlnm.Print_Area" localSheetId="18">'прил 7 2020-2022'!$A$1:$K$30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3">'прил2 дох 2020-2022.'!$A$1:$W$117</definedName>
    <definedName name="_xlnm.Print_Area" localSheetId="2">'прил2 дох 2020-2022..'!$A$1:$W$126</definedName>
    <definedName name="_xlnm.Print_Area" localSheetId="1">'прил4 дох 2020 21'!$A$1:$S$116</definedName>
    <definedName name="_xlnm.Print_Area" localSheetId="19">'прил8 2020-2022 '!$A$1:$J$35</definedName>
  </definedNames>
  <calcPr calcId="144525" iterate="1"/>
</workbook>
</file>

<file path=xl/calcChain.xml><?xml version="1.0" encoding="utf-8"?>
<calcChain xmlns="http://schemas.openxmlformats.org/spreadsheetml/2006/main">
  <c r="V307" i="22" l="1"/>
  <c r="V300" i="22"/>
  <c r="N307" i="22"/>
  <c r="N300" i="22"/>
  <c r="N184" i="28"/>
  <c r="N181" i="28"/>
  <c r="H184" i="28"/>
  <c r="H181" i="28"/>
  <c r="J22" i="16"/>
  <c r="I22" i="16"/>
  <c r="H22" i="16"/>
  <c r="N276" i="22"/>
  <c r="N281" i="22"/>
  <c r="H143" i="28"/>
  <c r="H151" i="28"/>
  <c r="H226" i="28" l="1"/>
  <c r="H220" i="28"/>
  <c r="H114" i="28"/>
  <c r="N533" i="22"/>
  <c r="N582" i="22"/>
  <c r="N571" i="22"/>
  <c r="N191" i="28" l="1"/>
  <c r="D37" i="26" l="1"/>
  <c r="D21" i="26"/>
  <c r="T360" i="28" l="1"/>
  <c r="S360" i="28"/>
  <c r="R360" i="28"/>
  <c r="Q360" i="28"/>
  <c r="P360" i="28"/>
  <c r="O360" i="28"/>
  <c r="N360" i="28"/>
  <c r="N359" i="28" s="1"/>
  <c r="H360" i="28"/>
  <c r="U361" i="28"/>
  <c r="T361" i="28"/>
  <c r="S361" i="28"/>
  <c r="R361" i="28"/>
  <c r="Q361" i="28"/>
  <c r="P361" i="28"/>
  <c r="O361" i="28"/>
  <c r="N361" i="28"/>
  <c r="H361" i="28"/>
  <c r="W596" i="22"/>
  <c r="W595" i="22"/>
  <c r="V596" i="22"/>
  <c r="V595" i="22" s="1"/>
  <c r="N596" i="22"/>
  <c r="N595" i="22" s="1"/>
  <c r="N599" i="22"/>
  <c r="N594" i="22" s="1"/>
  <c r="V316" i="22" l="1"/>
  <c r="K56" i="27"/>
  <c r="K42" i="27"/>
  <c r="W87" i="27" l="1"/>
  <c r="V87" i="27"/>
  <c r="K87" i="27"/>
  <c r="D39" i="26" l="1"/>
  <c r="H507" i="28" l="1"/>
  <c r="H345" i="28"/>
  <c r="N406" i="22"/>
  <c r="H112" i="28" l="1"/>
  <c r="H407" i="28"/>
  <c r="H390" i="28"/>
  <c r="H301" i="28"/>
  <c r="H261" i="28"/>
  <c r="H253" i="28" s="1"/>
  <c r="H254" i="28"/>
  <c r="H257" i="28"/>
  <c r="H340" i="28"/>
  <c r="H339" i="28" s="1"/>
  <c r="H356" i="28"/>
  <c r="H305" i="28"/>
  <c r="N528" i="22"/>
  <c r="N265" i="22"/>
  <c r="N250" i="22"/>
  <c r="N342" i="22"/>
  <c r="N331" i="22"/>
  <c r="N317" i="22"/>
  <c r="N326" i="22"/>
  <c r="N325" i="22" s="1"/>
  <c r="N400" i="22"/>
  <c r="N399" i="22" s="1"/>
  <c r="N398" i="22" s="1"/>
  <c r="N397" i="22" s="1"/>
  <c r="N432" i="22"/>
  <c r="N347" i="22"/>
  <c r="N346" i="22" s="1"/>
  <c r="N345" i="22" s="1"/>
  <c r="U525" i="28" l="1"/>
  <c r="U524" i="28"/>
  <c r="U523" i="28"/>
  <c r="U522" i="28" s="1"/>
  <c r="U521" i="28" s="1"/>
  <c r="U520" i="28" s="1"/>
  <c r="U519" i="28"/>
  <c r="N525" i="28"/>
  <c r="N524" i="28"/>
  <c r="N523" i="28"/>
  <c r="N522" i="28" s="1"/>
  <c r="N521" i="28" s="1"/>
  <c r="N520" i="28" s="1"/>
  <c r="N519" i="28"/>
  <c r="H525" i="28"/>
  <c r="H524" i="28" s="1"/>
  <c r="H523" i="28" s="1"/>
  <c r="H522" i="28" s="1"/>
  <c r="H521" i="28" s="1"/>
  <c r="H520" i="28" s="1"/>
  <c r="I523" i="28"/>
  <c r="I522" i="28" s="1"/>
  <c r="I521" i="28" s="1"/>
  <c r="I520" i="28" s="1"/>
  <c r="I519" i="28" s="1"/>
  <c r="J523" i="28"/>
  <c r="J522" i="28" s="1"/>
  <c r="J521" i="28" s="1"/>
  <c r="J520" i="28" s="1"/>
  <c r="J519" i="28" s="1"/>
  <c r="I524" i="28"/>
  <c r="J524" i="28"/>
  <c r="H519" i="28"/>
  <c r="N518" i="28" l="1"/>
  <c r="U518" i="28"/>
  <c r="H518" i="28"/>
  <c r="K526" i="28"/>
  <c r="L526" i="28" s="1"/>
  <c r="J518" i="28"/>
  <c r="I518" i="28"/>
  <c r="K519" i="28"/>
  <c r="H34" i="7" l="1"/>
  <c r="N499" i="22"/>
  <c r="H91" i="28"/>
  <c r="E38" i="26" l="1"/>
  <c r="E37" i="26"/>
  <c r="U365" i="28" l="1"/>
  <c r="N365" i="28"/>
  <c r="N400" i="28"/>
  <c r="N258" i="22"/>
  <c r="H400" i="28"/>
  <c r="V250" i="22"/>
  <c r="N390" i="28"/>
  <c r="N425" i="22"/>
  <c r="H350" i="28"/>
  <c r="N395" i="22"/>
  <c r="H335" i="28"/>
  <c r="N389" i="22"/>
  <c r="H329" i="28"/>
  <c r="V331" i="22"/>
  <c r="V582" i="22"/>
  <c r="V647" i="22" l="1"/>
  <c r="N647" i="22"/>
  <c r="U516" i="28" l="1"/>
  <c r="T516" i="28"/>
  <c r="S516" i="28"/>
  <c r="R516" i="28"/>
  <c r="Q516" i="28"/>
  <c r="P516" i="28"/>
  <c r="O516" i="28"/>
  <c r="N516" i="28"/>
  <c r="M516" i="28"/>
  <c r="L516" i="28"/>
  <c r="K516" i="28"/>
  <c r="J516" i="28"/>
  <c r="I516" i="28"/>
  <c r="H516" i="28"/>
  <c r="U514" i="28"/>
  <c r="U513" i="28" s="1"/>
  <c r="T513" i="28"/>
  <c r="S513" i="28"/>
  <c r="R513" i="28"/>
  <c r="Q513" i="28"/>
  <c r="P513" i="28"/>
  <c r="O513" i="28"/>
  <c r="N513" i="28"/>
  <c r="M513" i="28"/>
  <c r="L513" i="28"/>
  <c r="K513" i="28"/>
  <c r="J513" i="28"/>
  <c r="I513" i="28"/>
  <c r="H513" i="28"/>
  <c r="U511" i="28"/>
  <c r="T511" i="28"/>
  <c r="S511" i="28"/>
  <c r="R511" i="28"/>
  <c r="Q511" i="28"/>
  <c r="P511" i="28"/>
  <c r="O511" i="28"/>
  <c r="N511" i="28"/>
  <c r="M511" i="28"/>
  <c r="L511" i="28"/>
  <c r="K511" i="28"/>
  <c r="J511" i="28"/>
  <c r="I511" i="28"/>
  <c r="H511" i="28"/>
  <c r="U510" i="28"/>
  <c r="N510" i="28"/>
  <c r="N509" i="28" s="1"/>
  <c r="N508" i="28" s="1"/>
  <c r="N507" i="28" s="1"/>
  <c r="N506" i="28" s="1"/>
  <c r="J510" i="28"/>
  <c r="I510" i="28"/>
  <c r="H510" i="28"/>
  <c r="H509" i="28" s="1"/>
  <c r="H508" i="28" s="1"/>
  <c r="H506" i="28" s="1"/>
  <c r="H492" i="28" s="1"/>
  <c r="U509" i="28"/>
  <c r="U508" i="28" s="1"/>
  <c r="U507" i="28" s="1"/>
  <c r="U506" i="28" s="1"/>
  <c r="U492" i="28" s="1"/>
  <c r="J509" i="28"/>
  <c r="J508" i="28" s="1"/>
  <c r="J507" i="28" s="1"/>
  <c r="J506" i="28" s="1"/>
  <c r="I509" i="28"/>
  <c r="I508" i="28"/>
  <c r="I507" i="28" s="1"/>
  <c r="I506" i="28" s="1"/>
  <c r="U504" i="28"/>
  <c r="T504" i="28"/>
  <c r="S504" i="28"/>
  <c r="R504" i="28"/>
  <c r="Q504" i="28"/>
  <c r="P504" i="28"/>
  <c r="O504" i="28"/>
  <c r="N504" i="28"/>
  <c r="M504" i="28"/>
  <c r="L504" i="28"/>
  <c r="K504" i="28"/>
  <c r="J504" i="28"/>
  <c r="I504" i="28"/>
  <c r="H504" i="28"/>
  <c r="U503" i="28"/>
  <c r="U502" i="28" s="1"/>
  <c r="U501" i="28" s="1"/>
  <c r="U500" i="28" s="1"/>
  <c r="U499" i="28" s="1"/>
  <c r="N503" i="28"/>
  <c r="N502" i="28" s="1"/>
  <c r="N501" i="28" s="1"/>
  <c r="N500" i="28" s="1"/>
  <c r="N499" i="28" s="1"/>
  <c r="H503" i="28"/>
  <c r="H502" i="28" s="1"/>
  <c r="H501" i="28" s="1"/>
  <c r="H500" i="28" s="1"/>
  <c r="H499" i="28" s="1"/>
  <c r="K499" i="28"/>
  <c r="L499" i="28" s="1"/>
  <c r="J497" i="28"/>
  <c r="J496" i="28" s="1"/>
  <c r="J495" i="28" s="1"/>
  <c r="J494" i="28" s="1"/>
  <c r="J493" i="28" s="1"/>
  <c r="I497" i="28"/>
  <c r="I496" i="28" s="1"/>
  <c r="I495" i="28" s="1"/>
  <c r="I494" i="28" s="1"/>
  <c r="I493" i="28" s="1"/>
  <c r="K492" i="28"/>
  <c r="U489" i="28"/>
  <c r="U488" i="28" s="1"/>
  <c r="N489" i="28"/>
  <c r="N488" i="28" s="1"/>
  <c r="J489" i="28"/>
  <c r="J488" i="28" s="1"/>
  <c r="I489" i="28"/>
  <c r="I488" i="28" s="1"/>
  <c r="H489" i="28"/>
  <c r="H488" i="28" s="1"/>
  <c r="U483" i="28"/>
  <c r="U482" i="28" s="1"/>
  <c r="U481" i="28" s="1"/>
  <c r="U480" i="28" s="1"/>
  <c r="N483" i="28"/>
  <c r="N482" i="28" s="1"/>
  <c r="N481" i="28" s="1"/>
  <c r="N480" i="28" s="1"/>
  <c r="H483" i="28"/>
  <c r="H482" i="28" s="1"/>
  <c r="H481" i="28" s="1"/>
  <c r="H480" i="28"/>
  <c r="U478" i="28"/>
  <c r="N478" i="28"/>
  <c r="H478" i="28"/>
  <c r="U477" i="28"/>
  <c r="N477" i="28"/>
  <c r="N476" i="28" s="1"/>
  <c r="N475" i="28" s="1"/>
  <c r="N474" i="28" s="1"/>
  <c r="N473" i="28" s="1"/>
  <c r="N472" i="28" s="1"/>
  <c r="H477" i="28"/>
  <c r="J476" i="28"/>
  <c r="J475" i="28" s="1"/>
  <c r="J474" i="28" s="1"/>
  <c r="J473" i="28" s="1"/>
  <c r="J472" i="28" s="1"/>
  <c r="I476" i="28"/>
  <c r="I475" i="28" s="1"/>
  <c r="I474" i="28" s="1"/>
  <c r="I473" i="28" s="1"/>
  <c r="I472" i="28" s="1"/>
  <c r="H476" i="28"/>
  <c r="H475" i="28" s="1"/>
  <c r="H474" i="28" s="1"/>
  <c r="H473" i="28" s="1"/>
  <c r="H472" i="28" s="1"/>
  <c r="U467" i="28"/>
  <c r="U466" i="28" s="1"/>
  <c r="U465" i="28" s="1"/>
  <c r="N467" i="28"/>
  <c r="J467" i="28"/>
  <c r="J466" i="28" s="1"/>
  <c r="J465" i="28" s="1"/>
  <c r="I467" i="28"/>
  <c r="I466" i="28" s="1"/>
  <c r="I465" i="28" s="1"/>
  <c r="H467" i="28"/>
  <c r="N466" i="28"/>
  <c r="N465" i="28" s="1"/>
  <c r="H466" i="28"/>
  <c r="H465" i="28" s="1"/>
  <c r="U463" i="28"/>
  <c r="N463" i="28"/>
  <c r="H463" i="28"/>
  <c r="U462" i="28"/>
  <c r="U461" i="28" s="1"/>
  <c r="U460" i="28" s="1"/>
  <c r="U459" i="28" s="1"/>
  <c r="U458" i="28" s="1"/>
  <c r="N462" i="28"/>
  <c r="J462" i="28"/>
  <c r="I462" i="28"/>
  <c r="I461" i="28" s="1"/>
  <c r="H462" i="28"/>
  <c r="H461" i="28" s="1"/>
  <c r="H460" i="28" s="1"/>
  <c r="H459" i="28" s="1"/>
  <c r="H458" i="28" s="1"/>
  <c r="N461" i="28"/>
  <c r="N460" i="28" s="1"/>
  <c r="N459" i="28" s="1"/>
  <c r="N458" i="28" s="1"/>
  <c r="J461" i="28"/>
  <c r="U455" i="28"/>
  <c r="T455" i="28"/>
  <c r="S455" i="28"/>
  <c r="R455" i="28"/>
  <c r="Q455" i="28"/>
  <c r="P455" i="28"/>
  <c r="O455" i="28"/>
  <c r="N455" i="28"/>
  <c r="M455" i="28"/>
  <c r="L455" i="28"/>
  <c r="K455" i="28"/>
  <c r="J455" i="28"/>
  <c r="I455" i="28"/>
  <c r="H455" i="28"/>
  <c r="U454" i="28"/>
  <c r="U453" i="28" s="1"/>
  <c r="N454" i="28"/>
  <c r="N453" i="28" s="1"/>
  <c r="H454" i="28"/>
  <c r="H453" i="28" s="1"/>
  <c r="U451" i="28"/>
  <c r="T451" i="28"/>
  <c r="S451" i="28"/>
  <c r="R451" i="28"/>
  <c r="Q451" i="28"/>
  <c r="P451" i="28"/>
  <c r="O451" i="28"/>
  <c r="N451" i="28"/>
  <c r="M451" i="28"/>
  <c r="L451" i="28"/>
  <c r="K451" i="28"/>
  <c r="J451" i="28"/>
  <c r="I451" i="28"/>
  <c r="H451" i="28"/>
  <c r="U450" i="28"/>
  <c r="N450" i="28"/>
  <c r="N449" i="28" s="1"/>
  <c r="N448" i="28" s="1"/>
  <c r="J450" i="28"/>
  <c r="I450" i="28"/>
  <c r="I449" i="28" s="1"/>
  <c r="H450" i="28"/>
  <c r="H449" i="28" s="1"/>
  <c r="H448" i="28" s="1"/>
  <c r="U449" i="28"/>
  <c r="U448" i="28" s="1"/>
  <c r="J449" i="28"/>
  <c r="U446" i="28"/>
  <c r="N446" i="28"/>
  <c r="N443" i="28" s="1"/>
  <c r="J446" i="28"/>
  <c r="I446" i="28"/>
  <c r="H446" i="28"/>
  <c r="U444" i="28"/>
  <c r="N444" i="28"/>
  <c r="J444" i="28"/>
  <c r="J443" i="28" s="1"/>
  <c r="I444" i="28"/>
  <c r="I443" i="28" s="1"/>
  <c r="H444" i="28"/>
  <c r="U441" i="28"/>
  <c r="N441" i="28"/>
  <c r="N440" i="28" s="1"/>
  <c r="J441" i="28"/>
  <c r="I441" i="28"/>
  <c r="I440" i="28" s="1"/>
  <c r="I439" i="28" s="1"/>
  <c r="H441" i="28"/>
  <c r="U440" i="28"/>
  <c r="J440" i="28"/>
  <c r="H440" i="28"/>
  <c r="U433" i="28"/>
  <c r="U432" i="28" s="1"/>
  <c r="U431" i="28" s="1"/>
  <c r="U430" i="28" s="1"/>
  <c r="U429" i="28" s="1"/>
  <c r="N433" i="28"/>
  <c r="N432" i="28" s="1"/>
  <c r="N431" i="28" s="1"/>
  <c r="N430" i="28" s="1"/>
  <c r="N429" i="28" s="1"/>
  <c r="J433" i="28"/>
  <c r="I433" i="28"/>
  <c r="H433" i="28"/>
  <c r="H432" i="28" s="1"/>
  <c r="H431" i="28" s="1"/>
  <c r="H430" i="28" s="1"/>
  <c r="H429" i="28" s="1"/>
  <c r="J432" i="28"/>
  <c r="J431" i="28" s="1"/>
  <c r="J430" i="28" s="1"/>
  <c r="J429" i="28" s="1"/>
  <c r="I432" i="28"/>
  <c r="I431" i="28" s="1"/>
  <c r="I430" i="28" s="1"/>
  <c r="I429" i="28" s="1"/>
  <c r="U425" i="28"/>
  <c r="U424" i="28" s="1"/>
  <c r="U423" i="28" s="1"/>
  <c r="N425" i="28"/>
  <c r="N424" i="28" s="1"/>
  <c r="N423" i="28" s="1"/>
  <c r="H425" i="28"/>
  <c r="H424" i="28" s="1"/>
  <c r="H423" i="28" s="1"/>
  <c r="U421" i="28"/>
  <c r="U420" i="28" s="1"/>
  <c r="U419" i="28" s="1"/>
  <c r="N421" i="28"/>
  <c r="N420" i="28" s="1"/>
  <c r="N419" i="28" s="1"/>
  <c r="J421" i="28"/>
  <c r="I421" i="28"/>
  <c r="I420" i="28" s="1"/>
  <c r="I419" i="28" s="1"/>
  <c r="I418" i="28" s="1"/>
  <c r="I417" i="28" s="1"/>
  <c r="H421" i="28"/>
  <c r="H420" i="28" s="1"/>
  <c r="H419" i="28" s="1"/>
  <c r="H418" i="28" s="1"/>
  <c r="H417" i="28" s="1"/>
  <c r="J420" i="28"/>
  <c r="J419" i="28" s="1"/>
  <c r="J418" i="28" s="1"/>
  <c r="J417" i="28" s="1"/>
  <c r="U415" i="28"/>
  <c r="T415" i="28"/>
  <c r="S415" i="28"/>
  <c r="R415" i="28"/>
  <c r="Q415" i="28"/>
  <c r="P415" i="28"/>
  <c r="O415" i="28"/>
  <c r="N415" i="28"/>
  <c r="M415" i="28"/>
  <c r="L415" i="28"/>
  <c r="K415" i="28"/>
  <c r="J415" i="28"/>
  <c r="I415" i="28"/>
  <c r="H415" i="28"/>
  <c r="U414" i="28"/>
  <c r="U413" i="28" s="1"/>
  <c r="U412" i="28" s="1"/>
  <c r="U411" i="28" s="1"/>
  <c r="U410" i="28" s="1"/>
  <c r="N414" i="28"/>
  <c r="J414" i="28"/>
  <c r="J413" i="28" s="1"/>
  <c r="J412" i="28" s="1"/>
  <c r="J411" i="28" s="1"/>
  <c r="J410" i="28" s="1"/>
  <c r="I414" i="28"/>
  <c r="I413" i="28" s="1"/>
  <c r="I412" i="28" s="1"/>
  <c r="I411" i="28" s="1"/>
  <c r="I410" i="28" s="1"/>
  <c r="H414" i="28"/>
  <c r="H413" i="28" s="1"/>
  <c r="H412" i="28" s="1"/>
  <c r="H411" i="28" s="1"/>
  <c r="H410" i="28" s="1"/>
  <c r="N413" i="28"/>
  <c r="N412" i="28" s="1"/>
  <c r="N411" i="28" s="1"/>
  <c r="N410" i="28" s="1"/>
  <c r="U406" i="28"/>
  <c r="T406" i="28"/>
  <c r="S406" i="28"/>
  <c r="R406" i="28"/>
  <c r="Q406" i="28"/>
  <c r="P406" i="28"/>
  <c r="O406" i="28"/>
  <c r="N406" i="28"/>
  <c r="M406" i="28"/>
  <c r="L406" i="28"/>
  <c r="K406" i="28"/>
  <c r="J406" i="28"/>
  <c r="I406" i="28"/>
  <c r="H406" i="28"/>
  <c r="U405" i="28"/>
  <c r="U404" i="28" s="1"/>
  <c r="U403" i="28" s="1"/>
  <c r="U402" i="28" s="1"/>
  <c r="U401" i="28" s="1"/>
  <c r="N405" i="28"/>
  <c r="N404" i="28" s="1"/>
  <c r="N403" i="28" s="1"/>
  <c r="N402" i="28" s="1"/>
  <c r="N401" i="28" s="1"/>
  <c r="H405" i="28"/>
  <c r="H404" i="28" s="1"/>
  <c r="H403" i="28" s="1"/>
  <c r="H402" i="28" s="1"/>
  <c r="H401" i="28" s="1"/>
  <c r="J404" i="28"/>
  <c r="J403" i="28" s="1"/>
  <c r="I404" i="28"/>
  <c r="I403" i="28" s="1"/>
  <c r="J401" i="28"/>
  <c r="J397" i="28" s="1"/>
  <c r="I401" i="28"/>
  <c r="I397" i="28" s="1"/>
  <c r="Z400" i="28"/>
  <c r="U399" i="28"/>
  <c r="T399" i="28"/>
  <c r="S399" i="28"/>
  <c r="R399" i="28"/>
  <c r="Q399" i="28"/>
  <c r="P399" i="28"/>
  <c r="O399" i="28"/>
  <c r="M399" i="28"/>
  <c r="L399" i="28"/>
  <c r="K399" i="28"/>
  <c r="J399" i="28"/>
  <c r="I399" i="28"/>
  <c r="H399" i="28"/>
  <c r="U398" i="28"/>
  <c r="H398" i="28"/>
  <c r="U396" i="28"/>
  <c r="N396" i="28"/>
  <c r="H396" i="28"/>
  <c r="U394" i="28"/>
  <c r="N394" i="28"/>
  <c r="N393" i="28" s="1"/>
  <c r="J394" i="28"/>
  <c r="I394" i="28"/>
  <c r="H394" i="28"/>
  <c r="H393" i="28" s="1"/>
  <c r="U393" i="28"/>
  <c r="U391" i="28"/>
  <c r="T391" i="28"/>
  <c r="S391" i="28"/>
  <c r="R391" i="28"/>
  <c r="Q391" i="28"/>
  <c r="P391" i="28"/>
  <c r="O391" i="28"/>
  <c r="N391" i="28"/>
  <c r="M391" i="28"/>
  <c r="L391" i="28"/>
  <c r="K391" i="28"/>
  <c r="J391" i="28"/>
  <c r="I391" i="28"/>
  <c r="H391" i="28"/>
  <c r="Z390" i="28"/>
  <c r="U390" i="28"/>
  <c r="U389" i="28" s="1"/>
  <c r="T389" i="28"/>
  <c r="S389" i="28"/>
  <c r="R389" i="28"/>
  <c r="Q389" i="28"/>
  <c r="P389" i="28"/>
  <c r="O389" i="28"/>
  <c r="N389" i="28"/>
  <c r="M389" i="28"/>
  <c r="L389" i="28"/>
  <c r="K389" i="28"/>
  <c r="J389" i="28"/>
  <c r="I389" i="28"/>
  <c r="H389" i="28"/>
  <c r="U387" i="28"/>
  <c r="T387" i="28"/>
  <c r="S387" i="28"/>
  <c r="R387" i="28"/>
  <c r="Q387" i="28"/>
  <c r="P387" i="28"/>
  <c r="O387" i="28"/>
  <c r="N387" i="28"/>
  <c r="M387" i="28"/>
  <c r="L387" i="28"/>
  <c r="K387" i="28"/>
  <c r="J387" i="28"/>
  <c r="I387" i="28"/>
  <c r="H387" i="28"/>
  <c r="N386" i="28"/>
  <c r="J386" i="28"/>
  <c r="J385" i="28" s="1"/>
  <c r="I386" i="28"/>
  <c r="I385" i="28" s="1"/>
  <c r="I384" i="28" s="1"/>
  <c r="I383" i="28" s="1"/>
  <c r="I382" i="28" s="1"/>
  <c r="H386" i="28"/>
  <c r="H385" i="28"/>
  <c r="H384" i="28" s="1"/>
  <c r="H383" i="28" s="1"/>
  <c r="H382" i="28" s="1"/>
  <c r="J384" i="28"/>
  <c r="J383" i="28" s="1"/>
  <c r="K383" i="28"/>
  <c r="U379" i="28"/>
  <c r="T379" i="28"/>
  <c r="S379" i="28"/>
  <c r="R379" i="28"/>
  <c r="Q379" i="28"/>
  <c r="P379" i="28"/>
  <c r="O379" i="28"/>
  <c r="N379" i="28"/>
  <c r="M379" i="28"/>
  <c r="L379" i="28"/>
  <c r="K379" i="28"/>
  <c r="J379" i="28"/>
  <c r="I379" i="28"/>
  <c r="H379" i="28"/>
  <c r="U378" i="28"/>
  <c r="N378" i="28"/>
  <c r="J378" i="28"/>
  <c r="J374" i="28" s="1"/>
  <c r="I378" i="28"/>
  <c r="H378" i="28"/>
  <c r="H374" i="28" s="1"/>
  <c r="U375" i="28"/>
  <c r="N375" i="28"/>
  <c r="H375" i="28"/>
  <c r="I374" i="28"/>
  <c r="U372" i="28"/>
  <c r="U371" i="28" s="1"/>
  <c r="N372" i="28"/>
  <c r="J372" i="28"/>
  <c r="I372" i="28"/>
  <c r="I371" i="28" s="1"/>
  <c r="I370" i="28" s="1"/>
  <c r="I369" i="28" s="1"/>
  <c r="I368" i="28" s="1"/>
  <c r="I367" i="28" s="1"/>
  <c r="H372" i="28"/>
  <c r="H371" i="28" s="1"/>
  <c r="N371" i="28"/>
  <c r="J371" i="28"/>
  <c r="H365" i="28"/>
  <c r="H359" i="28" s="1"/>
  <c r="H358" i="28" s="1"/>
  <c r="H357" i="28" s="1"/>
  <c r="U364" i="28"/>
  <c r="U363" i="28"/>
  <c r="T363" i="28"/>
  <c r="S363" i="28"/>
  <c r="R363" i="28"/>
  <c r="Q363" i="28"/>
  <c r="P363" i="28"/>
  <c r="O363" i="28"/>
  <c r="N363" i="28"/>
  <c r="M363" i="28"/>
  <c r="L363" i="28"/>
  <c r="K363" i="28"/>
  <c r="J363" i="28"/>
  <c r="I363" i="28"/>
  <c r="H363" i="28"/>
  <c r="N358" i="28"/>
  <c r="N357" i="28" s="1"/>
  <c r="U355" i="28"/>
  <c r="T355" i="28"/>
  <c r="S355" i="28"/>
  <c r="R355" i="28"/>
  <c r="Q355" i="28"/>
  <c r="P355" i="28"/>
  <c r="O355" i="28"/>
  <c r="N355" i="28"/>
  <c r="M355" i="28"/>
  <c r="L355" i="28"/>
  <c r="K355" i="28"/>
  <c r="J355" i="28"/>
  <c r="I355" i="28"/>
  <c r="H355" i="28"/>
  <c r="U354" i="28"/>
  <c r="N354" i="28"/>
  <c r="H354" i="28"/>
  <c r="H353" i="28" s="1"/>
  <c r="H351" i="28" s="1"/>
  <c r="U349" i="28"/>
  <c r="T349" i="28"/>
  <c r="S349" i="28"/>
  <c r="R349" i="28"/>
  <c r="Q349" i="28"/>
  <c r="P349" i="28"/>
  <c r="O349" i="28"/>
  <c r="N349" i="28"/>
  <c r="M349" i="28"/>
  <c r="L349" i="28"/>
  <c r="K349" i="28"/>
  <c r="J349" i="28"/>
  <c r="I349" i="28"/>
  <c r="U348" i="28"/>
  <c r="U347" i="28" s="1"/>
  <c r="U346" i="28" s="1"/>
  <c r="N348" i="28"/>
  <c r="N347" i="28" s="1"/>
  <c r="N346" i="28" s="1"/>
  <c r="U345" i="28"/>
  <c r="N345" i="28"/>
  <c r="N343" i="28" s="1"/>
  <c r="N342" i="28" s="1"/>
  <c r="N336" i="28" s="1"/>
  <c r="H344" i="28"/>
  <c r="U338" i="28"/>
  <c r="U337" i="28" s="1"/>
  <c r="N338" i="28"/>
  <c r="N337" i="28" s="1"/>
  <c r="U334" i="28"/>
  <c r="N334" i="28"/>
  <c r="H334" i="28"/>
  <c r="U333" i="28"/>
  <c r="U332" i="28" s="1"/>
  <c r="U331" i="28" s="1"/>
  <c r="N333" i="28"/>
  <c r="N332" i="28" s="1"/>
  <c r="N331" i="28" s="1"/>
  <c r="H333" i="28"/>
  <c r="H332" i="28" s="1"/>
  <c r="H331" i="28" s="1"/>
  <c r="U328" i="28"/>
  <c r="N328" i="28"/>
  <c r="H328" i="28"/>
  <c r="U327" i="28"/>
  <c r="U326" i="28" s="1"/>
  <c r="U325" i="28" s="1"/>
  <c r="U324" i="28" s="1"/>
  <c r="N327" i="28"/>
  <c r="N326" i="28" s="1"/>
  <c r="N325" i="28" s="1"/>
  <c r="N324" i="28" s="1"/>
  <c r="H327" i="28"/>
  <c r="H326" i="28" s="1"/>
  <c r="H325" i="28" s="1"/>
  <c r="H324" i="28" s="1"/>
  <c r="H322" i="28"/>
  <c r="H321" i="28" s="1"/>
  <c r="H320" i="28" s="1"/>
  <c r="U319" i="28"/>
  <c r="U318" i="28" s="1"/>
  <c r="N319" i="28"/>
  <c r="N318" i="28" s="1"/>
  <c r="H319" i="28"/>
  <c r="H318" i="28" s="1"/>
  <c r="J318" i="28"/>
  <c r="I318" i="28"/>
  <c r="U314" i="28"/>
  <c r="N314" i="28"/>
  <c r="J314" i="28"/>
  <c r="J313" i="28" s="1"/>
  <c r="I314" i="28"/>
  <c r="H314" i="28"/>
  <c r="U311" i="28"/>
  <c r="N311" i="28"/>
  <c r="J311" i="28"/>
  <c r="I311" i="28"/>
  <c r="H311" i="28"/>
  <c r="U309" i="28"/>
  <c r="N309" i="28"/>
  <c r="J309" i="28"/>
  <c r="I309" i="28"/>
  <c r="H309" i="28"/>
  <c r="U305" i="28"/>
  <c r="U304" i="28" s="1"/>
  <c r="N305" i="28"/>
  <c r="N303" i="28" s="1"/>
  <c r="J305" i="28"/>
  <c r="J304" i="28" s="1"/>
  <c r="J303" i="28" s="1"/>
  <c r="I305" i="28"/>
  <c r="I304" i="28" s="1"/>
  <c r="I303" i="28" s="1"/>
  <c r="H303" i="28"/>
  <c r="U301" i="28"/>
  <c r="U299" i="28" s="1"/>
  <c r="T300" i="28"/>
  <c r="S300" i="28"/>
  <c r="R300" i="28"/>
  <c r="Q300" i="28"/>
  <c r="P300" i="28"/>
  <c r="O300" i="28"/>
  <c r="N300" i="28"/>
  <c r="M300" i="28"/>
  <c r="L300" i="28"/>
  <c r="K300" i="28"/>
  <c r="J300" i="28"/>
  <c r="I300" i="28"/>
  <c r="H300" i="28"/>
  <c r="J299" i="28"/>
  <c r="I299" i="28"/>
  <c r="U298" i="28"/>
  <c r="N298" i="28"/>
  <c r="U297" i="28"/>
  <c r="T297" i="28"/>
  <c r="S297" i="28"/>
  <c r="R297" i="28"/>
  <c r="Q297" i="28"/>
  <c r="P297" i="28"/>
  <c r="O297" i="28"/>
  <c r="N297" i="28"/>
  <c r="M297" i="28"/>
  <c r="L297" i="28"/>
  <c r="K297" i="28"/>
  <c r="J297" i="28"/>
  <c r="I297" i="28"/>
  <c r="H297" i="28"/>
  <c r="U296" i="28"/>
  <c r="N296" i="28"/>
  <c r="J296" i="28"/>
  <c r="J295" i="28" s="1"/>
  <c r="J294" i="28" s="1"/>
  <c r="I296" i="28"/>
  <c r="H296" i="28"/>
  <c r="K294" i="28"/>
  <c r="U291" i="28"/>
  <c r="N291" i="28"/>
  <c r="H291" i="28"/>
  <c r="H290" i="28" s="1"/>
  <c r="H289" i="28" s="1"/>
  <c r="H288" i="28" s="1"/>
  <c r="H283" i="28"/>
  <c r="H282" i="28"/>
  <c r="H281" i="28" s="1"/>
  <c r="H280" i="28" s="1"/>
  <c r="H279" i="28"/>
  <c r="H278" i="28" s="1"/>
  <c r="H277" i="28" s="1"/>
  <c r="H276" i="28" s="1"/>
  <c r="H275" i="28" s="1"/>
  <c r="J278" i="28"/>
  <c r="J277" i="28" s="1"/>
  <c r="J276" i="28" s="1"/>
  <c r="J275" i="28" s="1"/>
  <c r="I278" i="28"/>
  <c r="I277" i="28" s="1"/>
  <c r="I276" i="28" s="1"/>
  <c r="I275" i="28" s="1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1" i="28"/>
  <c r="T271" i="28"/>
  <c r="S271" i="28"/>
  <c r="R271" i="28"/>
  <c r="Q271" i="28"/>
  <c r="P271" i="28"/>
  <c r="O271" i="28"/>
  <c r="N271" i="28"/>
  <c r="M271" i="28"/>
  <c r="L271" i="28"/>
  <c r="K271" i="28"/>
  <c r="J271" i="28"/>
  <c r="I271" i="28"/>
  <c r="H271" i="28"/>
  <c r="U270" i="28"/>
  <c r="U269" i="28" s="1"/>
  <c r="N270" i="28"/>
  <c r="N269" i="28" s="1"/>
  <c r="H270" i="28"/>
  <c r="H269" i="28" s="1"/>
  <c r="U267" i="28"/>
  <c r="U264" i="28" s="1"/>
  <c r="U263" i="28" s="1"/>
  <c r="N267" i="28"/>
  <c r="N264" i="28" s="1"/>
  <c r="N263" i="28" s="1"/>
  <c r="J267" i="28"/>
  <c r="J264" i="28" s="1"/>
  <c r="J263" i="28" s="1"/>
  <c r="J262" i="28" s="1"/>
  <c r="I267" i="28"/>
  <c r="I264" i="28" s="1"/>
  <c r="I263" i="28" s="1"/>
  <c r="I262" i="28" s="1"/>
  <c r="H267" i="28"/>
  <c r="H266" i="28"/>
  <c r="H264" i="28"/>
  <c r="H263" i="28" s="1"/>
  <c r="K263" i="28"/>
  <c r="U262" i="28"/>
  <c r="N262" i="28"/>
  <c r="H262" i="28"/>
  <c r="AA261" i="28"/>
  <c r="U261" i="28"/>
  <c r="U260" i="28" s="1"/>
  <c r="N261" i="28"/>
  <c r="N252" i="28" s="1"/>
  <c r="N251" i="28" s="1"/>
  <c r="T260" i="28"/>
  <c r="S260" i="28"/>
  <c r="R260" i="28"/>
  <c r="Q260" i="28"/>
  <c r="P260" i="28"/>
  <c r="O260" i="28"/>
  <c r="M260" i="28"/>
  <c r="L260" i="28"/>
  <c r="K260" i="28"/>
  <c r="J260" i="28"/>
  <c r="I260" i="28"/>
  <c r="H260" i="28"/>
  <c r="H259" i="28"/>
  <c r="U255" i="28"/>
  <c r="T255" i="28"/>
  <c r="S255" i="28"/>
  <c r="R255" i="28"/>
  <c r="Q255" i="28"/>
  <c r="P255" i="28"/>
  <c r="O255" i="28"/>
  <c r="N255" i="28"/>
  <c r="M255" i="28"/>
  <c r="L255" i="28"/>
  <c r="K255" i="28"/>
  <c r="J255" i="28"/>
  <c r="I255" i="28"/>
  <c r="H255" i="28"/>
  <c r="U254" i="28"/>
  <c r="N254" i="28"/>
  <c r="J254" i="28"/>
  <c r="I254" i="28"/>
  <c r="H252" i="28"/>
  <c r="N253" i="28"/>
  <c r="J253" i="28"/>
  <c r="J252" i="28" s="1"/>
  <c r="I253" i="28"/>
  <c r="I252" i="28" s="1"/>
  <c r="K252" i="28"/>
  <c r="U249" i="28"/>
  <c r="T249" i="28"/>
  <c r="S249" i="28"/>
  <c r="R249" i="28"/>
  <c r="Q249" i="28"/>
  <c r="P249" i="28"/>
  <c r="O249" i="28"/>
  <c r="N249" i="28"/>
  <c r="M249" i="28"/>
  <c r="L249" i="28"/>
  <c r="K249" i="28"/>
  <c r="J249" i="28"/>
  <c r="I249" i="28"/>
  <c r="H249" i="28"/>
  <c r="U248" i="28"/>
  <c r="N248" i="28"/>
  <c r="J248" i="28"/>
  <c r="I248" i="28"/>
  <c r="H248" i="28"/>
  <c r="H246" i="28"/>
  <c r="U244" i="28"/>
  <c r="N244" i="28"/>
  <c r="J244" i="28"/>
  <c r="I244" i="28"/>
  <c r="H244" i="28"/>
  <c r="U242" i="28"/>
  <c r="N242" i="28"/>
  <c r="J242" i="28"/>
  <c r="I242" i="28"/>
  <c r="H242" i="28"/>
  <c r="H237" i="28"/>
  <c r="H236" i="28" s="1"/>
  <c r="H235" i="28" s="1"/>
  <c r="H233" i="28"/>
  <c r="H232" i="28" s="1"/>
  <c r="H231" i="28" s="1"/>
  <c r="N226" i="28"/>
  <c r="U225" i="28"/>
  <c r="T225" i="28"/>
  <c r="S225" i="28"/>
  <c r="R225" i="28"/>
  <c r="Q225" i="28"/>
  <c r="P225" i="28"/>
  <c r="O225" i="28"/>
  <c r="N225" i="28"/>
  <c r="M225" i="28"/>
  <c r="L225" i="28"/>
  <c r="K225" i="28"/>
  <c r="J225" i="28"/>
  <c r="I225" i="28"/>
  <c r="H225" i="28"/>
  <c r="U224" i="28"/>
  <c r="N224" i="28"/>
  <c r="J224" i="28"/>
  <c r="I224" i="28"/>
  <c r="H224" i="28"/>
  <c r="U222" i="28"/>
  <c r="T222" i="28"/>
  <c r="S222" i="28"/>
  <c r="R222" i="28"/>
  <c r="Q222" i="28"/>
  <c r="P222" i="28"/>
  <c r="O222" i="28"/>
  <c r="N222" i="28"/>
  <c r="M222" i="28"/>
  <c r="L222" i="28"/>
  <c r="K222" i="28"/>
  <c r="J222" i="28"/>
  <c r="I222" i="28"/>
  <c r="H222" i="28"/>
  <c r="U221" i="28"/>
  <c r="N221" i="28"/>
  <c r="J221" i="28"/>
  <c r="I221" i="28"/>
  <c r="H221" i="28"/>
  <c r="U220" i="28"/>
  <c r="U219" i="28" s="1"/>
  <c r="N220" i="28"/>
  <c r="N218" i="28" s="1"/>
  <c r="N217" i="28" s="1"/>
  <c r="N216" i="28" s="1"/>
  <c r="N215" i="28" s="1"/>
  <c r="T219" i="28"/>
  <c r="S219" i="28"/>
  <c r="R219" i="28"/>
  <c r="Q219" i="28"/>
  <c r="P219" i="28"/>
  <c r="O219" i="28"/>
  <c r="N219" i="28"/>
  <c r="M219" i="28"/>
  <c r="L219" i="28"/>
  <c r="K219" i="28"/>
  <c r="J219" i="28"/>
  <c r="I219" i="28"/>
  <c r="J218" i="28"/>
  <c r="I218" i="28"/>
  <c r="K217" i="28"/>
  <c r="J217" i="28"/>
  <c r="J216" i="28" s="1"/>
  <c r="J215" i="28" s="1"/>
  <c r="I217" i="28"/>
  <c r="I216" i="28" s="1"/>
  <c r="I215" i="28" s="1"/>
  <c r="U213" i="28"/>
  <c r="T213" i="28"/>
  <c r="S213" i="28"/>
  <c r="R213" i="28"/>
  <c r="Q213" i="28"/>
  <c r="P213" i="28"/>
  <c r="O213" i="28"/>
  <c r="N213" i="28"/>
  <c r="M213" i="28"/>
  <c r="L213" i="28"/>
  <c r="K213" i="28"/>
  <c r="J213" i="28"/>
  <c r="I213" i="28"/>
  <c r="H213" i="28"/>
  <c r="U212" i="28"/>
  <c r="U211" i="28" s="1"/>
  <c r="U210" i="28" s="1"/>
  <c r="N212" i="28"/>
  <c r="N211" i="28" s="1"/>
  <c r="N210" i="28" s="1"/>
  <c r="J212" i="28"/>
  <c r="J211" i="28" s="1"/>
  <c r="J210" i="28" s="1"/>
  <c r="I212" i="28"/>
  <c r="I211" i="28" s="1"/>
  <c r="I210" i="28" s="1"/>
  <c r="H212" i="28"/>
  <c r="H211" i="28" s="1"/>
  <c r="H210" i="28" s="1"/>
  <c r="K210" i="28"/>
  <c r="U207" i="28"/>
  <c r="U206" i="28" s="1"/>
  <c r="U205" i="28" s="1"/>
  <c r="U204" i="28" s="1"/>
  <c r="N207" i="28"/>
  <c r="N206" i="28" s="1"/>
  <c r="N205" i="28" s="1"/>
  <c r="N204" i="28" s="1"/>
  <c r="J207" i="28"/>
  <c r="J206" i="28" s="1"/>
  <c r="J205" i="28" s="1"/>
  <c r="J204" i="28" s="1"/>
  <c r="I207" i="28"/>
  <c r="I206" i="28" s="1"/>
  <c r="I205" i="28" s="1"/>
  <c r="I204" i="28" s="1"/>
  <c r="H207" i="28"/>
  <c r="H206" i="28" s="1"/>
  <c r="H205" i="28" s="1"/>
  <c r="H204" i="28" s="1"/>
  <c r="U202" i="28"/>
  <c r="N202" i="28"/>
  <c r="J202" i="28"/>
  <c r="I202" i="28"/>
  <c r="H202" i="28"/>
  <c r="U200" i="28"/>
  <c r="N200" i="28"/>
  <c r="J200" i="28"/>
  <c r="I200" i="28"/>
  <c r="H200" i="28"/>
  <c r="U198" i="28"/>
  <c r="N198" i="28"/>
  <c r="J198" i="28"/>
  <c r="I198" i="28"/>
  <c r="H198" i="28"/>
  <c r="U195" i="28"/>
  <c r="U194" i="28" s="1"/>
  <c r="N195" i="28"/>
  <c r="N194" i="28" s="1"/>
  <c r="J195" i="28"/>
  <c r="J194" i="28" s="1"/>
  <c r="I195" i="28"/>
  <c r="I194" i="28" s="1"/>
  <c r="H195" i="28"/>
  <c r="H194" i="28" s="1"/>
  <c r="U191" i="28"/>
  <c r="U190" i="28" s="1"/>
  <c r="H191" i="28"/>
  <c r="T190" i="28"/>
  <c r="S190" i="28"/>
  <c r="R190" i="28"/>
  <c r="Q190" i="28"/>
  <c r="P190" i="28"/>
  <c r="O190" i="28"/>
  <c r="N190" i="28"/>
  <c r="M190" i="28"/>
  <c r="L190" i="28"/>
  <c r="K190" i="28"/>
  <c r="J190" i="28"/>
  <c r="I190" i="28"/>
  <c r="U189" i="28"/>
  <c r="N189" i="28"/>
  <c r="J189" i="28"/>
  <c r="I189" i="28"/>
  <c r="U187" i="28"/>
  <c r="U186" i="28" s="1"/>
  <c r="U185" i="28" s="1"/>
  <c r="N187" i="28"/>
  <c r="J187" i="28"/>
  <c r="J186" i="28" s="1"/>
  <c r="J185" i="28" s="1"/>
  <c r="I187" i="28"/>
  <c r="I186" i="28" s="1"/>
  <c r="I185" i="28" s="1"/>
  <c r="H187" i="28"/>
  <c r="N183" i="28"/>
  <c r="N182" i="28" s="1"/>
  <c r="U183" i="28"/>
  <c r="H183" i="28"/>
  <c r="H182" i="28" s="1"/>
  <c r="U182" i="28"/>
  <c r="J182" i="28"/>
  <c r="I182" i="28"/>
  <c r="H180" i="28"/>
  <c r="U180" i="28"/>
  <c r="T180" i="28"/>
  <c r="S180" i="28"/>
  <c r="R180" i="28"/>
  <c r="Q180" i="28"/>
  <c r="P180" i="28"/>
  <c r="O180" i="28"/>
  <c r="M180" i="28"/>
  <c r="L180" i="28"/>
  <c r="K180" i="28"/>
  <c r="J180" i="28"/>
  <c r="I180" i="28"/>
  <c r="U179" i="28"/>
  <c r="J179" i="28"/>
  <c r="I179" i="28"/>
  <c r="U177" i="28"/>
  <c r="T177" i="28"/>
  <c r="S177" i="28"/>
  <c r="R177" i="28"/>
  <c r="Q177" i="28"/>
  <c r="P177" i="28"/>
  <c r="O177" i="28"/>
  <c r="N177" i="28"/>
  <c r="M177" i="28"/>
  <c r="L177" i="28"/>
  <c r="K177" i="28"/>
  <c r="J177" i="28"/>
  <c r="I177" i="28"/>
  <c r="H177" i="28"/>
  <c r="U176" i="28"/>
  <c r="N176" i="28"/>
  <c r="J176" i="28"/>
  <c r="J175" i="28" s="1"/>
  <c r="J174" i="28" s="1"/>
  <c r="I176" i="28"/>
  <c r="H176" i="28"/>
  <c r="K174" i="28"/>
  <c r="U172" i="28"/>
  <c r="U170" i="28"/>
  <c r="U169" i="28" s="1"/>
  <c r="N170" i="28"/>
  <c r="H170" i="28"/>
  <c r="H169" i="28" s="1"/>
  <c r="T169" i="28"/>
  <c r="S169" i="28"/>
  <c r="R169" i="28"/>
  <c r="Q169" i="28"/>
  <c r="P169" i="28"/>
  <c r="O169" i="28"/>
  <c r="M169" i="28"/>
  <c r="L169" i="28"/>
  <c r="K169" i="28"/>
  <c r="J169" i="28"/>
  <c r="I169" i="28"/>
  <c r="K167" i="28"/>
  <c r="J167" i="28"/>
  <c r="J166" i="28" s="1"/>
  <c r="I167" i="28"/>
  <c r="I166" i="28" s="1"/>
  <c r="J163" i="28"/>
  <c r="I163" i="28"/>
  <c r="H161" i="28"/>
  <c r="H160" i="28" s="1"/>
  <c r="H159" i="28" s="1"/>
  <c r="H158" i="28" s="1"/>
  <c r="U156" i="28"/>
  <c r="T156" i="28"/>
  <c r="S156" i="28"/>
  <c r="R156" i="28"/>
  <c r="Q156" i="28"/>
  <c r="P156" i="28"/>
  <c r="O156" i="28"/>
  <c r="N156" i="28"/>
  <c r="M156" i="28"/>
  <c r="L156" i="28"/>
  <c r="K156" i="28"/>
  <c r="J156" i="28"/>
  <c r="I156" i="28"/>
  <c r="H156" i="28"/>
  <c r="U155" i="28"/>
  <c r="U154" i="28" s="1"/>
  <c r="U153" i="28" s="1"/>
  <c r="N155" i="28"/>
  <c r="N154" i="28" s="1"/>
  <c r="N153" i="28" s="1"/>
  <c r="J155" i="28"/>
  <c r="J154" i="28" s="1"/>
  <c r="J153" i="28" s="1"/>
  <c r="I155" i="28"/>
  <c r="H155" i="28"/>
  <c r="H154" i="28" s="1"/>
  <c r="H153" i="28" s="1"/>
  <c r="I154" i="28"/>
  <c r="I153" i="28" s="1"/>
  <c r="U150" i="28"/>
  <c r="T150" i="28"/>
  <c r="S150" i="28"/>
  <c r="R150" i="28"/>
  <c r="Q150" i="28"/>
  <c r="P150" i="28"/>
  <c r="O150" i="28"/>
  <c r="N150" i="28"/>
  <c r="M150" i="28"/>
  <c r="L150" i="28"/>
  <c r="K150" i="28"/>
  <c r="J150" i="28"/>
  <c r="I150" i="28"/>
  <c r="H150" i="28"/>
  <c r="U149" i="28"/>
  <c r="U148" i="28" s="1"/>
  <c r="N149" i="28"/>
  <c r="N148" i="28" s="1"/>
  <c r="J149" i="28"/>
  <c r="J148" i="28" s="1"/>
  <c r="I149" i="28"/>
  <c r="I148" i="28" s="1"/>
  <c r="H149" i="28"/>
  <c r="H148" i="28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H140" i="28" s="1"/>
  <c r="H139" i="28" s="1"/>
  <c r="U138" i="28"/>
  <c r="U137" i="28" s="1"/>
  <c r="N138" i="28"/>
  <c r="N137" i="28" s="1"/>
  <c r="K138" i="28"/>
  <c r="H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3" i="28"/>
  <c r="N132" i="28" s="1"/>
  <c r="H133" i="28"/>
  <c r="H132" i="28" s="1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30" i="28"/>
  <c r="U129" i="28" s="1"/>
  <c r="U128" i="28" s="1"/>
  <c r="U127" i="28" s="1"/>
  <c r="U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U110" i="28"/>
  <c r="N110" i="28"/>
  <c r="N109" i="28" s="1"/>
  <c r="N108" i="28" s="1"/>
  <c r="N107" i="28" s="1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9" i="28"/>
  <c r="U108" i="28" s="1"/>
  <c r="U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N102" i="28"/>
  <c r="N101" i="28" s="1"/>
  <c r="N100" i="28" s="1"/>
  <c r="N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H96" i="28"/>
  <c r="H95" i="28" s="1"/>
  <c r="H94" i="28" s="1"/>
  <c r="H93" i="28" s="1"/>
  <c r="H92" i="28" s="1"/>
  <c r="N95" i="28"/>
  <c r="N94" i="28" s="1"/>
  <c r="N93" i="28" s="1"/>
  <c r="N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H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U69" i="28"/>
  <c r="K69" i="28"/>
  <c r="K67" i="28"/>
  <c r="K27" i="28" s="1"/>
  <c r="K24" i="28" s="1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K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K115" i="27"/>
  <c r="N492" i="28" l="1"/>
  <c r="N131" i="28"/>
  <c r="N130" i="28" s="1"/>
  <c r="N129" i="28" s="1"/>
  <c r="N128" i="28" s="1"/>
  <c r="N127" i="28" s="1"/>
  <c r="N126" i="28" s="1"/>
  <c r="I140" i="28"/>
  <c r="I139" i="28" s="1"/>
  <c r="I138" i="28" s="1"/>
  <c r="I137" i="28" s="1"/>
  <c r="I136" i="28" s="1"/>
  <c r="H251" i="28"/>
  <c r="H381" i="28"/>
  <c r="U491" i="28"/>
  <c r="J197" i="28"/>
  <c r="U218" i="28"/>
  <c r="U217" i="28" s="1"/>
  <c r="U216" i="28" s="1"/>
  <c r="U215" i="28" s="1"/>
  <c r="N299" i="28"/>
  <c r="I396" i="28"/>
  <c r="J439" i="28"/>
  <c r="I448" i="28"/>
  <c r="I438" i="28" s="1"/>
  <c r="I437" i="28" s="1"/>
  <c r="I428" i="28" s="1"/>
  <c r="U167" i="28"/>
  <c r="U166" i="28" s="1"/>
  <c r="U165" i="28" s="1"/>
  <c r="U209" i="28"/>
  <c r="U241" i="28"/>
  <c r="U240" i="28" s="1"/>
  <c r="U239" i="28" s="1"/>
  <c r="U229" i="28" s="1"/>
  <c r="U360" i="28"/>
  <c r="U359" i="28" s="1"/>
  <c r="U358" i="28" s="1"/>
  <c r="U357" i="28" s="1"/>
  <c r="N374" i="28"/>
  <c r="N370" i="28" s="1"/>
  <c r="N369" i="28" s="1"/>
  <c r="N368" i="28" s="1"/>
  <c r="N367" i="28" s="1"/>
  <c r="J448" i="28"/>
  <c r="U303" i="28"/>
  <c r="N295" i="28"/>
  <c r="N294" i="28" s="1"/>
  <c r="H304" i="28"/>
  <c r="N308" i="28"/>
  <c r="H308" i="28"/>
  <c r="N313" i="28"/>
  <c r="J193" i="28"/>
  <c r="J192" i="28" s="1"/>
  <c r="I64" i="28"/>
  <c r="I63" i="28" s="1"/>
  <c r="N64" i="28"/>
  <c r="N63" i="28" s="1"/>
  <c r="N62" i="28" s="1"/>
  <c r="N61" i="28" s="1"/>
  <c r="H64" i="28"/>
  <c r="H63" i="28" s="1"/>
  <c r="U64" i="28"/>
  <c r="U63" i="28" s="1"/>
  <c r="U62" i="28" s="1"/>
  <c r="U61" i="28" s="1"/>
  <c r="U27" i="28" s="1"/>
  <c r="H137" i="28"/>
  <c r="N241" i="28"/>
  <c r="N240" i="28" s="1"/>
  <c r="N239" i="28" s="1"/>
  <c r="N229" i="28" s="1"/>
  <c r="I308" i="28"/>
  <c r="U308" i="28"/>
  <c r="H343" i="28"/>
  <c r="H342" i="28" s="1"/>
  <c r="H336" i="28" s="1"/>
  <c r="U476" i="28"/>
  <c r="U475" i="28" s="1"/>
  <c r="U474" i="28" s="1"/>
  <c r="U473" i="28" s="1"/>
  <c r="U472" i="28" s="1"/>
  <c r="J64" i="28"/>
  <c r="J63" i="28" s="1"/>
  <c r="I175" i="28"/>
  <c r="I174" i="28" s="1"/>
  <c r="I173" i="28" s="1"/>
  <c r="I172" i="28" s="1"/>
  <c r="I209" i="28"/>
  <c r="I295" i="28"/>
  <c r="I294" i="28" s="1"/>
  <c r="U300" i="28"/>
  <c r="J396" i="28"/>
  <c r="N197" i="28"/>
  <c r="N193" i="28" s="1"/>
  <c r="N192" i="28" s="1"/>
  <c r="J209" i="28"/>
  <c r="J308" i="28"/>
  <c r="J307" i="28" s="1"/>
  <c r="J302" i="28" s="1"/>
  <c r="J293" i="28" s="1"/>
  <c r="J370" i="28"/>
  <c r="J369" i="28" s="1"/>
  <c r="J368" i="28" s="1"/>
  <c r="J367" i="28" s="1"/>
  <c r="H409" i="28"/>
  <c r="J492" i="28"/>
  <c r="J491" i="28" s="1"/>
  <c r="J487" i="28" s="1"/>
  <c r="J486" i="28" s="1"/>
  <c r="J485" i="28" s="1"/>
  <c r="N491" i="28"/>
  <c r="N487" i="28" s="1"/>
  <c r="N486" i="28" s="1"/>
  <c r="N485" i="28" s="1"/>
  <c r="N471" i="28" s="1"/>
  <c r="N470" i="28" s="1"/>
  <c r="H230" i="28"/>
  <c r="I409" i="28"/>
  <c r="H167" i="28"/>
  <c r="H166" i="28" s="1"/>
  <c r="H165" i="28" s="1"/>
  <c r="H163" i="28" s="1"/>
  <c r="H136" i="28" s="1"/>
  <c r="U253" i="28"/>
  <c r="U252" i="28" s="1"/>
  <c r="U251" i="28" s="1"/>
  <c r="U259" i="28"/>
  <c r="U313" i="28"/>
  <c r="N344" i="28"/>
  <c r="J382" i="28"/>
  <c r="U385" i="28"/>
  <c r="U384" i="28" s="1"/>
  <c r="U383" i="28" s="1"/>
  <c r="U382" i="28" s="1"/>
  <c r="U381" i="28" s="1"/>
  <c r="I492" i="28"/>
  <c r="I491" i="28" s="1"/>
  <c r="I487" i="28" s="1"/>
  <c r="I486" i="28" s="1"/>
  <c r="I485" i="28" s="1"/>
  <c r="I471" i="28" s="1"/>
  <c r="I470" i="28" s="1"/>
  <c r="H106" i="28"/>
  <c r="H179" i="28"/>
  <c r="H175" i="28" s="1"/>
  <c r="H174" i="28" s="1"/>
  <c r="N186" i="28"/>
  <c r="N185" i="28" s="1"/>
  <c r="I197" i="28"/>
  <c r="I193" i="28" s="1"/>
  <c r="I192" i="28" s="1"/>
  <c r="H197" i="28"/>
  <c r="H193" i="28" s="1"/>
  <c r="H192" i="28" s="1"/>
  <c r="U197" i="28"/>
  <c r="U193" i="28" s="1"/>
  <c r="U192" i="28" s="1"/>
  <c r="J241" i="28"/>
  <c r="J240" i="28" s="1"/>
  <c r="J239" i="28" s="1"/>
  <c r="J229" i="28" s="1"/>
  <c r="I241" i="28"/>
  <c r="I240" i="28" s="1"/>
  <c r="I239" i="28" s="1"/>
  <c r="I229" i="28" s="1"/>
  <c r="H241" i="28"/>
  <c r="H240" i="28" s="1"/>
  <c r="H239" i="28" s="1"/>
  <c r="H229" i="28" s="1"/>
  <c r="H299" i="28"/>
  <c r="H295" i="28" s="1"/>
  <c r="N304" i="28"/>
  <c r="H352" i="28"/>
  <c r="U374" i="28"/>
  <c r="U370" i="28" s="1"/>
  <c r="U369" i="28" s="1"/>
  <c r="U368" i="28" s="1"/>
  <c r="U367" i="28" s="1"/>
  <c r="U386" i="28"/>
  <c r="H313" i="28"/>
  <c r="H370" i="28"/>
  <c r="H369" i="28" s="1"/>
  <c r="H368" i="28" s="1"/>
  <c r="H367" i="28" s="1"/>
  <c r="U418" i="28"/>
  <c r="U417" i="28" s="1"/>
  <c r="U409" i="28" s="1"/>
  <c r="N418" i="28"/>
  <c r="N417" i="28" s="1"/>
  <c r="N409" i="28" s="1"/>
  <c r="N439" i="28"/>
  <c r="N438" i="28" s="1"/>
  <c r="N437" i="28" s="1"/>
  <c r="N428" i="28" s="1"/>
  <c r="H62" i="28"/>
  <c r="H61" i="28" s="1"/>
  <c r="M61" i="28"/>
  <c r="J140" i="28"/>
  <c r="J139" i="28" s="1"/>
  <c r="J138" i="28" s="1"/>
  <c r="J137" i="28" s="1"/>
  <c r="J136" i="28" s="1"/>
  <c r="U140" i="28"/>
  <c r="U139" i="28" s="1"/>
  <c r="N140" i="28"/>
  <c r="N139" i="28" s="1"/>
  <c r="U295" i="28"/>
  <c r="U294" i="28" s="1"/>
  <c r="I313" i="28"/>
  <c r="H443" i="28"/>
  <c r="H439" i="28" s="1"/>
  <c r="H438" i="28" s="1"/>
  <c r="H437" i="28" s="1"/>
  <c r="H428" i="28" s="1"/>
  <c r="U443" i="28"/>
  <c r="U439" i="28" s="1"/>
  <c r="U438" i="28" s="1"/>
  <c r="U437" i="28" s="1"/>
  <c r="U428" i="28" s="1"/>
  <c r="I27" i="28"/>
  <c r="I62" i="28"/>
  <c r="I61" i="28" s="1"/>
  <c r="N27" i="28"/>
  <c r="N60" i="28"/>
  <c r="J106" i="28"/>
  <c r="J62" i="28"/>
  <c r="J61" i="28" s="1"/>
  <c r="J27" i="28"/>
  <c r="I106" i="28"/>
  <c r="I251" i="28"/>
  <c r="H131" i="28"/>
  <c r="H130" i="28" s="1"/>
  <c r="H129" i="28" s="1"/>
  <c r="H128" i="28" s="1"/>
  <c r="H127" i="28" s="1"/>
  <c r="H126" i="28" s="1"/>
  <c r="H164" i="28"/>
  <c r="J251" i="28"/>
  <c r="J409" i="28"/>
  <c r="U163" i="28"/>
  <c r="U136" i="28" s="1"/>
  <c r="U164" i="28"/>
  <c r="J173" i="28"/>
  <c r="J172" i="28" s="1"/>
  <c r="U175" i="28"/>
  <c r="U174" i="28" s="1"/>
  <c r="U173" i="28" s="1"/>
  <c r="H219" i="28"/>
  <c r="H218" i="28"/>
  <c r="H217" i="28" s="1"/>
  <c r="H216" i="28" s="1"/>
  <c r="H215" i="28" s="1"/>
  <c r="H209" i="28" s="1"/>
  <c r="N399" i="28"/>
  <c r="N398" i="28"/>
  <c r="N385" i="28"/>
  <c r="N384" i="28" s="1"/>
  <c r="N383" i="28" s="1"/>
  <c r="N382" i="28" s="1"/>
  <c r="N381" i="28" s="1"/>
  <c r="H172" i="28"/>
  <c r="H190" i="28"/>
  <c r="H189" i="28"/>
  <c r="H186" i="28" s="1"/>
  <c r="H185" i="28" s="1"/>
  <c r="N169" i="28"/>
  <c r="N167" i="28"/>
  <c r="N166" i="28" s="1"/>
  <c r="N165" i="28" s="1"/>
  <c r="U171" i="28"/>
  <c r="N180" i="28"/>
  <c r="N179" i="28"/>
  <c r="N175" i="28" s="1"/>
  <c r="N174" i="28" s="1"/>
  <c r="N172" i="28"/>
  <c r="N209" i="28"/>
  <c r="N259" i="28"/>
  <c r="N260" i="28"/>
  <c r="H348" i="28"/>
  <c r="H347" i="28" s="1"/>
  <c r="H346" i="28" s="1"/>
  <c r="H349" i="28"/>
  <c r="J471" i="28"/>
  <c r="J470" i="28" s="1"/>
  <c r="U343" i="28"/>
  <c r="U342" i="28" s="1"/>
  <c r="U336" i="28" s="1"/>
  <c r="U344" i="28"/>
  <c r="H338" i="28"/>
  <c r="H337" i="28" s="1"/>
  <c r="U351" i="28"/>
  <c r="U352" i="28"/>
  <c r="U487" i="28"/>
  <c r="U486" i="28" s="1"/>
  <c r="U485" i="28" s="1"/>
  <c r="U471" i="28" s="1"/>
  <c r="U470" i="28" s="1"/>
  <c r="N351" i="28"/>
  <c r="N352" i="28"/>
  <c r="H491" i="28"/>
  <c r="H487" i="28" s="1"/>
  <c r="H486" i="28" s="1"/>
  <c r="H485" i="28" s="1"/>
  <c r="H471" i="28" s="1"/>
  <c r="H470" i="28" s="1"/>
  <c r="N173" i="28" l="1"/>
  <c r="J438" i="28"/>
  <c r="J437" i="28" s="1"/>
  <c r="J428" i="28" s="1"/>
  <c r="I60" i="28"/>
  <c r="H60" i="28"/>
  <c r="J60" i="28"/>
  <c r="J171" i="28"/>
  <c r="N293" i="28"/>
  <c r="N228" i="28" s="1"/>
  <c r="U307" i="28"/>
  <c r="U302" i="28" s="1"/>
  <c r="U293" i="28"/>
  <c r="U228" i="28" s="1"/>
  <c r="I307" i="28"/>
  <c r="I302" i="28" s="1"/>
  <c r="H307" i="28"/>
  <c r="H302" i="28" s="1"/>
  <c r="H294" i="28" s="1"/>
  <c r="H293" i="28" s="1"/>
  <c r="H228" i="28" s="1"/>
  <c r="N307" i="28"/>
  <c r="N302" i="28" s="1"/>
  <c r="I293" i="28"/>
  <c r="I228" i="28" s="1"/>
  <c r="I171" i="28"/>
  <c r="N171" i="28"/>
  <c r="N59" i="28" s="1"/>
  <c r="U60" i="28"/>
  <c r="H27" i="28"/>
  <c r="H25" i="28" s="1"/>
  <c r="J228" i="28"/>
  <c r="H173" i="28"/>
  <c r="U25" i="28"/>
  <c r="N163" i="28"/>
  <c r="N136" i="28" s="1"/>
  <c r="N164" i="28"/>
  <c r="V178" i="28"/>
  <c r="H171" i="28"/>
  <c r="N25" i="28"/>
  <c r="J25" i="28"/>
  <c r="J26" i="28"/>
  <c r="I25" i="28"/>
  <c r="J59" i="28" l="1"/>
  <c r="I59" i="28"/>
  <c r="I24" i="28" s="1"/>
  <c r="U59" i="28"/>
  <c r="N26" i="28"/>
  <c r="N24" i="28" s="1"/>
  <c r="AA22" i="28" s="1"/>
  <c r="AA20" i="28" s="1"/>
  <c r="U26" i="28"/>
  <c r="U24" i="28" s="1"/>
  <c r="AB22" i="28" s="1"/>
  <c r="AB20" i="28" s="1"/>
  <c r="I26" i="28"/>
  <c r="H26" i="28"/>
  <c r="J24" i="28"/>
  <c r="H59" i="28"/>
  <c r="H24" i="28" l="1"/>
  <c r="M24" i="28" s="1"/>
  <c r="Z131" i="27"/>
  <c r="Y131" i="27"/>
  <c r="X131" i="27"/>
  <c r="O127" i="27"/>
  <c r="P124" i="27"/>
  <c r="P108" i="27" s="1"/>
  <c r="W121" i="27"/>
  <c r="W108" i="27" s="1"/>
  <c r="V121" i="27"/>
  <c r="K121" i="27"/>
  <c r="V120" i="27"/>
  <c r="K120" i="27"/>
  <c r="AC115" i="27"/>
  <c r="AB115" i="27"/>
  <c r="V113" i="27"/>
  <c r="K113" i="27"/>
  <c r="K108" i="27" s="1"/>
  <c r="V112" i="27"/>
  <c r="P111" i="27"/>
  <c r="T108" i="27"/>
  <c r="R108" i="27"/>
  <c r="P104" i="27"/>
  <c r="W104" i="27"/>
  <c r="V104" i="27"/>
  <c r="T104" i="27"/>
  <c r="R104" i="27"/>
  <c r="K104" i="27"/>
  <c r="W100" i="27"/>
  <c r="V100" i="27"/>
  <c r="T100" i="27"/>
  <c r="R100" i="27"/>
  <c r="K100" i="27"/>
  <c r="P96" i="27"/>
  <c r="P91" i="27"/>
  <c r="P88" i="27" s="1"/>
  <c r="W88" i="27"/>
  <c r="V88" i="27"/>
  <c r="T88" i="27"/>
  <c r="R88" i="27"/>
  <c r="K88" i="27"/>
  <c r="P87" i="27"/>
  <c r="P84" i="27"/>
  <c r="P82" i="27" s="1"/>
  <c r="W82" i="27"/>
  <c r="V82" i="27"/>
  <c r="T82" i="27"/>
  <c r="R82" i="27"/>
  <c r="K82" i="27"/>
  <c r="N78" i="27"/>
  <c r="N127" i="27" s="1"/>
  <c r="P74" i="27"/>
  <c r="P70" i="27"/>
  <c r="P66" i="27"/>
  <c r="W63" i="27"/>
  <c r="V63" i="27"/>
  <c r="T63" i="27"/>
  <c r="R63" i="27"/>
  <c r="K63" i="27"/>
  <c r="P59" i="27"/>
  <c r="T57" i="27"/>
  <c r="R57" i="27"/>
  <c r="P57" i="27"/>
  <c r="K57" i="27"/>
  <c r="P56" i="27"/>
  <c r="P55" i="27"/>
  <c r="P54" i="27"/>
  <c r="W51" i="27"/>
  <c r="V51" i="27"/>
  <c r="T51" i="27"/>
  <c r="R51" i="27"/>
  <c r="K51" i="27"/>
  <c r="P50" i="27"/>
  <c r="W47" i="27"/>
  <c r="V47" i="27"/>
  <c r="T47" i="27"/>
  <c r="R47" i="27"/>
  <c r="K47" i="27"/>
  <c r="P46" i="27"/>
  <c r="V44" i="27"/>
  <c r="T44" i="27"/>
  <c r="R44" i="27"/>
  <c r="K44" i="27"/>
  <c r="P42" i="27"/>
  <c r="P40" i="27" s="1"/>
  <c r="W40" i="27"/>
  <c r="V40" i="27"/>
  <c r="T40" i="27"/>
  <c r="R40" i="27"/>
  <c r="K40" i="27"/>
  <c r="V108" i="27" l="1"/>
  <c r="R38" i="27"/>
  <c r="V38" i="27"/>
  <c r="V125" i="27" s="1"/>
  <c r="K38" i="27"/>
  <c r="K125" i="27" s="1"/>
  <c r="P51" i="27"/>
  <c r="P47" i="27" s="1"/>
  <c r="P44" i="27" s="1"/>
  <c r="P127" i="27"/>
  <c r="P78" i="27"/>
  <c r="P63" i="27" s="1"/>
  <c r="P38" i="27" s="1"/>
  <c r="P125" i="27" s="1"/>
  <c r="W38" i="27"/>
  <c r="W125" i="27" s="1"/>
  <c r="T38" i="27"/>
  <c r="T125" i="27" s="1"/>
  <c r="R125" i="27"/>
  <c r="W291" i="22" l="1"/>
  <c r="W290" i="22" s="1"/>
  <c r="V291" i="22"/>
  <c r="N291" i="22"/>
  <c r="N316" i="22"/>
  <c r="N177" i="23"/>
  <c r="N176" i="23" s="1"/>
  <c r="H177" i="23"/>
  <c r="H176" i="23" s="1"/>
  <c r="U177" i="23"/>
  <c r="N175" i="23"/>
  <c r="N166" i="23" s="1"/>
  <c r="H185" i="23"/>
  <c r="H175" i="23"/>
  <c r="H166" i="23" s="1"/>
  <c r="K115" i="15"/>
  <c r="K107" i="15"/>
  <c r="W277" i="22" l="1"/>
  <c r="V277" i="22"/>
  <c r="N277" i="22"/>
  <c r="U164" i="23" l="1"/>
  <c r="W115" i="15" l="1"/>
  <c r="V115" i="15"/>
  <c r="W112" i="15"/>
  <c r="V112" i="15"/>
  <c r="K112" i="15"/>
  <c r="U214" i="23" l="1"/>
  <c r="W571" i="22"/>
  <c r="W505" i="22"/>
  <c r="V571" i="22" l="1"/>
  <c r="V541" i="22" s="1"/>
  <c r="N541" i="22"/>
  <c r="V505" i="22"/>
  <c r="N505" i="22"/>
  <c r="N164" i="23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W316" i="22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Q83" i="23"/>
  <c r="P83" i="23"/>
  <c r="O83" i="23"/>
  <c r="N83" i="23"/>
  <c r="U82" i="23"/>
  <c r="T82" i="23"/>
  <c r="S82" i="23"/>
  <c r="R82" i="23"/>
  <c r="Q82" i="23"/>
  <c r="P82" i="23"/>
  <c r="O82" i="23"/>
  <c r="N82" i="23"/>
  <c r="U81" i="23"/>
  <c r="T81" i="23"/>
  <c r="T80" i="23" s="1"/>
  <c r="T79" i="23" s="1"/>
  <c r="S81" i="23"/>
  <c r="S80" i="23" s="1"/>
  <c r="S79" i="23" s="1"/>
  <c r="R81" i="23"/>
  <c r="R80" i="23" s="1"/>
  <c r="R79" i="23" s="1"/>
  <c r="Q81" i="23"/>
  <c r="P81" i="23"/>
  <c r="P80" i="23" s="1"/>
  <c r="P79" i="23" s="1"/>
  <c r="O81" i="23"/>
  <c r="O80" i="23" s="1"/>
  <c r="O79" i="23" s="1"/>
  <c r="N81" i="23"/>
  <c r="N80" i="23" s="1"/>
  <c r="N79" i="23" s="1"/>
  <c r="U80" i="23"/>
  <c r="Q80" i="23"/>
  <c r="Q79" i="23" s="1"/>
  <c r="U79" i="23"/>
  <c r="U66" i="23"/>
  <c r="N66" i="23"/>
  <c r="U69" i="23"/>
  <c r="N69" i="23"/>
  <c r="N361" i="22"/>
  <c r="N360" i="22" s="1"/>
  <c r="O361" i="22"/>
  <c r="P361" i="22"/>
  <c r="Q361" i="22"/>
  <c r="R361" i="22"/>
  <c r="V361" i="22"/>
  <c r="V360" i="22" s="1"/>
  <c r="W361" i="22"/>
  <c r="W360" i="22" s="1"/>
  <c r="N461" i="22"/>
  <c r="N460" i="22" s="1"/>
  <c r="Q461" i="22"/>
  <c r="R461" i="22"/>
  <c r="V461" i="22"/>
  <c r="V460" i="22" s="1"/>
  <c r="W461" i="22"/>
  <c r="W460" i="22" s="1"/>
  <c r="W358" i="22"/>
  <c r="W357" i="22" s="1"/>
  <c r="V358" i="22"/>
  <c r="V357" i="22" s="1"/>
  <c r="N358" i="22"/>
  <c r="N357" i="22" s="1"/>
  <c r="J336" i="22"/>
  <c r="N336" i="22"/>
  <c r="O336" i="22"/>
  <c r="P336" i="22"/>
  <c r="Q336" i="22"/>
  <c r="R336" i="22"/>
  <c r="W257" i="22"/>
  <c r="W256" i="22" s="1"/>
  <c r="W235" i="22"/>
  <c r="V235" i="22"/>
  <c r="N235" i="22"/>
  <c r="U380" i="23"/>
  <c r="U379" i="23" s="1"/>
  <c r="N380" i="23"/>
  <c r="N379" i="23" s="1"/>
  <c r="W250" i="22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453" i="22"/>
  <c r="W600" i="22"/>
  <c r="W541" i="22" s="1"/>
  <c r="W342" i="22"/>
  <c r="W337" i="22"/>
  <c r="W336" i="22" s="1"/>
  <c r="V337" i="22"/>
  <c r="V336" i="22" s="1"/>
  <c r="W331" i="22"/>
  <c r="W457" i="22"/>
  <c r="W210" i="22"/>
  <c r="V210" i="22"/>
  <c r="N210" i="22"/>
  <c r="W214" i="22"/>
  <c r="V214" i="22"/>
  <c r="V213" i="22" s="1"/>
  <c r="N214" i="22"/>
  <c r="W388" i="22"/>
  <c r="V388" i="22"/>
  <c r="N388" i="22"/>
  <c r="W425" i="22"/>
  <c r="V425" i="22"/>
  <c r="W394" i="22"/>
  <c r="W393" i="22" s="1"/>
  <c r="W392" i="22" s="1"/>
  <c r="W391" i="22" s="1"/>
  <c r="W390" i="22" s="1"/>
  <c r="V394" i="22"/>
  <c r="V393" i="22" s="1"/>
  <c r="V392" i="22" s="1"/>
  <c r="V391" i="22" s="1"/>
  <c r="V390" i="22" s="1"/>
  <c r="N394" i="22"/>
  <c r="N393" i="22" s="1"/>
  <c r="N392" i="22" s="1"/>
  <c r="N391" i="22" s="1"/>
  <c r="N390" i="22" s="1"/>
  <c r="W385" i="22" l="1"/>
  <c r="W384" i="22" s="1"/>
  <c r="W383" i="22" s="1"/>
  <c r="W382" i="22" s="1"/>
  <c r="W387" i="22"/>
  <c r="N212" i="22"/>
  <c r="N211" i="22" s="1"/>
  <c r="N213" i="22"/>
  <c r="N385" i="22"/>
  <c r="N384" i="22" s="1"/>
  <c r="N383" i="22" s="1"/>
  <c r="N382" i="22" s="1"/>
  <c r="N387" i="22"/>
  <c r="V385" i="22"/>
  <c r="V384" i="22" s="1"/>
  <c r="V383" i="22" s="1"/>
  <c r="V382" i="22" s="1"/>
  <c r="V387" i="22"/>
  <c r="W212" i="22"/>
  <c r="W211" i="22" s="1"/>
  <c r="W213" i="22"/>
  <c r="V212" i="22"/>
  <c r="V211" i="22" s="1"/>
  <c r="W317" i="22"/>
  <c r="V317" i="22"/>
  <c r="W424" i="22"/>
  <c r="W423" i="22" s="1"/>
  <c r="W422" i="22" s="1"/>
  <c r="W421" i="22" s="1"/>
  <c r="W420" i="22" s="1"/>
  <c r="V209" i="22"/>
  <c r="W406" i="22"/>
  <c r="W196" i="22" s="1"/>
  <c r="V406" i="22"/>
  <c r="V196" i="22" s="1"/>
  <c r="W592" i="22"/>
  <c r="V592" i="22"/>
  <c r="N592" i="22"/>
  <c r="W667" i="22"/>
  <c r="W665" i="22"/>
  <c r="W662" i="22"/>
  <c r="W658" i="22"/>
  <c r="W657" i="22" s="1"/>
  <c r="W655" i="22"/>
  <c r="W654" i="22" s="1"/>
  <c r="W652" i="22"/>
  <c r="W651" i="22" s="1"/>
  <c r="W649" i="22"/>
  <c r="W648" i="22" s="1"/>
  <c r="W646" i="22"/>
  <c r="W642" i="22"/>
  <c r="W641" i="22" s="1"/>
  <c r="W639" i="22"/>
  <c r="W638" i="22" s="1"/>
  <c r="W636" i="22"/>
  <c r="W634" i="22"/>
  <c r="W632" i="22"/>
  <c r="W631" i="22" s="1"/>
  <c r="W630" i="22" s="1"/>
  <c r="W626" i="22"/>
  <c r="W625" i="22" s="1"/>
  <c r="W620" i="22"/>
  <c r="W619" i="22" s="1"/>
  <c r="W617" i="22"/>
  <c r="W616" i="22" s="1"/>
  <c r="W614" i="22"/>
  <c r="W613" i="22" s="1"/>
  <c r="W611" i="22"/>
  <c r="W610" i="22" s="1"/>
  <c r="W608" i="22"/>
  <c r="W607" i="22" s="1"/>
  <c r="W605" i="22"/>
  <c r="W603" i="22"/>
  <c r="W602" i="22" s="1"/>
  <c r="W599" i="22"/>
  <c r="W594" i="22" s="1"/>
  <c r="W588" i="22"/>
  <c r="W584" i="22" s="1"/>
  <c r="W583" i="22" s="1"/>
  <c r="W581" i="22"/>
  <c r="W577" i="22"/>
  <c r="W576" i="22" s="1"/>
  <c r="W574" i="22"/>
  <c r="W570" i="22"/>
  <c r="W566" i="22"/>
  <c r="W565" i="22" s="1"/>
  <c r="W563" i="22"/>
  <c r="W562" i="22" s="1"/>
  <c r="W556" i="22"/>
  <c r="W551" i="22"/>
  <c r="W547" i="22"/>
  <c r="W546" i="22" s="1"/>
  <c r="W544" i="22"/>
  <c r="W540" i="22"/>
  <c r="W536" i="22" s="1"/>
  <c r="W534" i="22"/>
  <c r="W532" i="22"/>
  <c r="W529" i="22"/>
  <c r="W527" i="22"/>
  <c r="W526" i="22" s="1"/>
  <c r="W525" i="22"/>
  <c r="W524" i="22" s="1"/>
  <c r="W523" i="22" s="1"/>
  <c r="W522" i="22" s="1"/>
  <c r="W520" i="22"/>
  <c r="W515" i="22"/>
  <c r="W514" i="22" s="1"/>
  <c r="W513" i="22" s="1"/>
  <c r="W512" i="22" s="1"/>
  <c r="W511" i="22" s="1"/>
  <c r="W509" i="22"/>
  <c r="W508" i="22" s="1"/>
  <c r="W507" i="22" s="1"/>
  <c r="W506" i="22" s="1"/>
  <c r="W504" i="22"/>
  <c r="W501" i="22"/>
  <c r="W498" i="22"/>
  <c r="W497" i="22" s="1"/>
  <c r="W496" i="22"/>
  <c r="W493" i="22"/>
  <c r="W492" i="22" s="1"/>
  <c r="W490" i="22"/>
  <c r="W488" i="22" s="1"/>
  <c r="W486" i="22"/>
  <c r="W485" i="22" s="1"/>
  <c r="W483" i="22"/>
  <c r="W482" i="22" s="1"/>
  <c r="W481" i="22" s="1"/>
  <c r="W480" i="22" s="1"/>
  <c r="W478" i="22"/>
  <c r="W477" i="22" s="1"/>
  <c r="W473" i="22"/>
  <c r="W471" i="22" s="1"/>
  <c r="W469" i="22"/>
  <c r="W466" i="22"/>
  <c r="W458" i="22"/>
  <c r="W452" i="22"/>
  <c r="W451" i="22"/>
  <c r="W450" i="22" s="1"/>
  <c r="W446" i="22"/>
  <c r="W445" i="22" s="1"/>
  <c r="W444" i="22"/>
  <c r="W440" i="22"/>
  <c r="W431" i="22"/>
  <c r="W430" i="22" s="1"/>
  <c r="W429" i="22" s="1"/>
  <c r="W428" i="22" s="1"/>
  <c r="W427" i="22" s="1"/>
  <c r="W426" i="22" s="1"/>
  <c r="W413" i="22"/>
  <c r="W412" i="22" s="1"/>
  <c r="W411" i="22" s="1"/>
  <c r="W410" i="22" s="1"/>
  <c r="W380" i="22"/>
  <c r="W379" i="22" s="1"/>
  <c r="W378" i="22" s="1"/>
  <c r="W377" i="22" s="1"/>
  <c r="W376" i="22" s="1"/>
  <c r="W374" i="22"/>
  <c r="W373" i="22" s="1"/>
  <c r="W372" i="22" s="1"/>
  <c r="W371" i="22" s="1"/>
  <c r="W370" i="22" s="1"/>
  <c r="W368" i="22"/>
  <c r="W367" i="22" s="1"/>
  <c r="W366" i="22" s="1"/>
  <c r="W365" i="22" s="1"/>
  <c r="W364" i="22" s="1"/>
  <c r="W363" i="22"/>
  <c r="W356" i="22"/>
  <c r="W355" i="22" s="1"/>
  <c r="W353" i="22"/>
  <c r="W351" i="22"/>
  <c r="W350" i="22"/>
  <c r="W349" i="22" s="1"/>
  <c r="W344" i="22"/>
  <c r="W340" i="22"/>
  <c r="W334" i="22"/>
  <c r="W333" i="22"/>
  <c r="W332" i="22" s="1"/>
  <c r="W330" i="22"/>
  <c r="W328" i="22" s="1"/>
  <c r="W321" i="22"/>
  <c r="W315" i="22"/>
  <c r="W311" i="22"/>
  <c r="W310" i="22" s="1"/>
  <c r="W309" i="22"/>
  <c r="W308" i="22" s="1"/>
  <c r="W306" i="22"/>
  <c r="W302" i="22"/>
  <c r="W301" i="22" s="1"/>
  <c r="W298" i="22"/>
  <c r="W294" i="22"/>
  <c r="W287" i="22"/>
  <c r="W280" i="22"/>
  <c r="W275" i="22"/>
  <c r="W270" i="22"/>
  <c r="W269" i="22" s="1"/>
  <c r="W268" i="22" s="1"/>
  <c r="W263" i="22"/>
  <c r="W255" i="22"/>
  <c r="W252" i="22"/>
  <c r="W251" i="22" s="1"/>
  <c r="W249" i="22"/>
  <c r="W248" i="22" s="1"/>
  <c r="W246" i="22"/>
  <c r="W245" i="22" s="1"/>
  <c r="W244" i="22"/>
  <c r="W239" i="22"/>
  <c r="W234" i="22"/>
  <c r="W233" i="22" s="1"/>
  <c r="W221" i="22"/>
  <c r="W209" i="22"/>
  <c r="W202" i="22"/>
  <c r="W201" i="22" s="1"/>
  <c r="W200" i="22" s="1"/>
  <c r="W189" i="22"/>
  <c r="W188" i="22" s="1"/>
  <c r="W185" i="22"/>
  <c r="W184" i="22" s="1"/>
  <c r="W177" i="22"/>
  <c r="W176" i="22" s="1"/>
  <c r="W174" i="22"/>
  <c r="W173" i="22" s="1"/>
  <c r="W169" i="22"/>
  <c r="W168" i="22" s="1"/>
  <c r="W167" i="22" s="1"/>
  <c r="W166" i="22" s="1"/>
  <c r="W164" i="22"/>
  <c r="W162" i="22" s="1"/>
  <c r="W161" i="22" s="1"/>
  <c r="W160" i="22" s="1"/>
  <c r="W159" i="22" s="1"/>
  <c r="W156" i="22"/>
  <c r="W153" i="22" s="1"/>
  <c r="W152" i="22" s="1"/>
  <c r="W151" i="22" s="1"/>
  <c r="W150" i="22" s="1"/>
  <c r="W148" i="22"/>
  <c r="W147" i="22" s="1"/>
  <c r="W146" i="22" s="1"/>
  <c r="W145" i="22" s="1"/>
  <c r="W144" i="22"/>
  <c r="W143" i="22" s="1"/>
  <c r="W142" i="22"/>
  <c r="W141" i="22" s="1"/>
  <c r="W138" i="22"/>
  <c r="W137" i="22" s="1"/>
  <c r="W132" i="22"/>
  <c r="W131" i="22" s="1"/>
  <c r="W125" i="22"/>
  <c r="W124" i="22" s="1"/>
  <c r="W121" i="22"/>
  <c r="W119" i="22"/>
  <c r="W109" i="22"/>
  <c r="W107" i="22"/>
  <c r="W105" i="22"/>
  <c r="W102" i="22"/>
  <c r="W100" i="22" s="1"/>
  <c r="W97" i="22"/>
  <c r="W96" i="22" s="1"/>
  <c r="W94" i="22"/>
  <c r="W93" i="22" s="1"/>
  <c r="W92" i="22" s="1"/>
  <c r="W84" i="22"/>
  <c r="W83" i="22" s="1"/>
  <c r="W81" i="22"/>
  <c r="W79" i="22"/>
  <c r="W72" i="22"/>
  <c r="W71" i="22" s="1"/>
  <c r="W70" i="22" s="1"/>
  <c r="W67" i="22"/>
  <c r="W66" i="22" s="1"/>
  <c r="W65" i="22" s="1"/>
  <c r="W63" i="22"/>
  <c r="W62" i="22" s="1"/>
  <c r="W61" i="22" s="1"/>
  <c r="W56" i="22"/>
  <c r="W55" i="22" s="1"/>
  <c r="W54" i="22" s="1"/>
  <c r="W52" i="22"/>
  <c r="W51" i="22" s="1"/>
  <c r="W48" i="22"/>
  <c r="W45" i="22"/>
  <c r="W43" i="22"/>
  <c r="W41" i="22"/>
  <c r="W38" i="22"/>
  <c r="W33" i="22"/>
  <c r="W32" i="22" s="1"/>
  <c r="W31" i="22" s="1"/>
  <c r="V667" i="22"/>
  <c r="V665" i="22"/>
  <c r="V662" i="22"/>
  <c r="V658" i="22"/>
  <c r="V657" i="22" s="1"/>
  <c r="V655" i="22"/>
  <c r="V654" i="22" s="1"/>
  <c r="V652" i="22"/>
  <c r="V651" i="22" s="1"/>
  <c r="V649" i="22"/>
  <c r="V648" i="22" s="1"/>
  <c r="V646" i="22"/>
  <c r="V645" i="22" s="1"/>
  <c r="V644" i="22"/>
  <c r="V642" i="22"/>
  <c r="V641" i="22" s="1"/>
  <c r="V639" i="22"/>
  <c r="V638" i="22" s="1"/>
  <c r="V636" i="22"/>
  <c r="V634" i="22"/>
  <c r="V632" i="22"/>
  <c r="V631" i="22" s="1"/>
  <c r="V630" i="22" s="1"/>
  <c r="V626" i="22"/>
  <c r="V625" i="22" s="1"/>
  <c r="V620" i="22"/>
  <c r="V619" i="22" s="1"/>
  <c r="V617" i="22"/>
  <c r="V616" i="22" s="1"/>
  <c r="V614" i="22"/>
  <c r="V613" i="22" s="1"/>
  <c r="V611" i="22"/>
  <c r="V610" i="22" s="1"/>
  <c r="V608" i="22"/>
  <c r="V607" i="22" s="1"/>
  <c r="V605" i="22"/>
  <c r="V603" i="22"/>
  <c r="V599" i="22"/>
  <c r="V594" i="22" s="1"/>
  <c r="V588" i="22"/>
  <c r="V584" i="22" s="1"/>
  <c r="V583" i="22" s="1"/>
  <c r="V581" i="22"/>
  <c r="V577" i="22"/>
  <c r="V576" i="22" s="1"/>
  <c r="V574" i="22"/>
  <c r="V570" i="22"/>
  <c r="V566" i="22"/>
  <c r="V565" i="22" s="1"/>
  <c r="V563" i="22"/>
  <c r="V562" i="22" s="1"/>
  <c r="V556" i="22"/>
  <c r="V551" i="22"/>
  <c r="V547" i="22"/>
  <c r="V546" i="22" s="1"/>
  <c r="V544" i="22"/>
  <c r="V540" i="22"/>
  <c r="V536" i="22" s="1"/>
  <c r="V534" i="22"/>
  <c r="V532" i="22"/>
  <c r="V529" i="22"/>
  <c r="V527" i="22"/>
  <c r="V526" i="22" s="1"/>
  <c r="V525" i="22"/>
  <c r="V524" i="22" s="1"/>
  <c r="V523" i="22" s="1"/>
  <c r="V522" i="22" s="1"/>
  <c r="V520" i="22"/>
  <c r="V515" i="22"/>
  <c r="V514" i="22" s="1"/>
  <c r="V513" i="22" s="1"/>
  <c r="V512" i="22" s="1"/>
  <c r="V511" i="22" s="1"/>
  <c r="V509" i="22"/>
  <c r="V508" i="22" s="1"/>
  <c r="V507" i="22" s="1"/>
  <c r="V506" i="22" s="1"/>
  <c r="V504" i="22"/>
  <c r="V501" i="22"/>
  <c r="V498" i="22"/>
  <c r="V493" i="22"/>
  <c r="V492" i="22" s="1"/>
  <c r="V490" i="22"/>
  <c r="V488" i="22" s="1"/>
  <c r="V486" i="22"/>
  <c r="V485" i="22" s="1"/>
  <c r="V483" i="22"/>
  <c r="V482" i="22" s="1"/>
  <c r="V481" i="22" s="1"/>
  <c r="V480" i="22" s="1"/>
  <c r="V478" i="22"/>
  <c r="V477" i="22" s="1"/>
  <c r="V473" i="22"/>
  <c r="V471" i="22" s="1"/>
  <c r="V469" i="22"/>
  <c r="V466" i="22"/>
  <c r="V458" i="22"/>
  <c r="V452" i="22"/>
  <c r="V451" i="22"/>
  <c r="V450" i="22" s="1"/>
  <c r="V446" i="22"/>
  <c r="V445" i="22" s="1"/>
  <c r="V444" i="22"/>
  <c r="V440" i="22"/>
  <c r="V431" i="22"/>
  <c r="V430" i="22" s="1"/>
  <c r="V429" i="22" s="1"/>
  <c r="V428" i="22" s="1"/>
  <c r="V427" i="22" s="1"/>
  <c r="V426" i="22" s="1"/>
  <c r="V424" i="22"/>
  <c r="V423" i="22" s="1"/>
  <c r="V422" i="22" s="1"/>
  <c r="V421" i="22" s="1"/>
  <c r="V420" i="22" s="1"/>
  <c r="V413" i="22"/>
  <c r="V412" i="22" s="1"/>
  <c r="V411" i="22" s="1"/>
  <c r="V410" i="22" s="1"/>
  <c r="V405" i="22"/>
  <c r="V404" i="22" s="1"/>
  <c r="V403" i="22" s="1"/>
  <c r="V402" i="22" s="1"/>
  <c r="V396" i="22" s="1"/>
  <c r="V380" i="22"/>
  <c r="V379" i="22" s="1"/>
  <c r="V378" i="22" s="1"/>
  <c r="V377" i="22" s="1"/>
  <c r="V376" i="22" s="1"/>
  <c r="V374" i="22"/>
  <c r="V373" i="22" s="1"/>
  <c r="V372" i="22" s="1"/>
  <c r="V371" i="22" s="1"/>
  <c r="V370" i="22" s="1"/>
  <c r="V368" i="22"/>
  <c r="V367" i="22" s="1"/>
  <c r="V366" i="22" s="1"/>
  <c r="V365" i="22" s="1"/>
  <c r="V364" i="22" s="1"/>
  <c r="V363" i="22"/>
  <c r="V356" i="22"/>
  <c r="V355" i="22" s="1"/>
  <c r="V350" i="22"/>
  <c r="V349" i="22" s="1"/>
  <c r="V353" i="22"/>
  <c r="V351" i="22"/>
  <c r="V344" i="22"/>
  <c r="V340" i="22"/>
  <c r="V334" i="22"/>
  <c r="V333" i="22"/>
  <c r="V332" i="22" s="1"/>
  <c r="V330" i="22"/>
  <c r="V328" i="22" s="1"/>
  <c r="V321" i="22"/>
  <c r="V315" i="22"/>
  <c r="V311" i="22"/>
  <c r="V310" i="22" s="1"/>
  <c r="V309" i="22"/>
  <c r="V308" i="22" s="1"/>
  <c r="V306" i="22"/>
  <c r="V302" i="22"/>
  <c r="V301" i="22" s="1"/>
  <c r="V298" i="22"/>
  <c r="V294" i="22"/>
  <c r="V290" i="22"/>
  <c r="V287" i="22"/>
  <c r="V280" i="22"/>
  <c r="V275" i="22"/>
  <c r="V270" i="22"/>
  <c r="V269" i="22" s="1"/>
  <c r="V268" i="22" s="1"/>
  <c r="V263" i="22"/>
  <c r="V257" i="22"/>
  <c r="V252" i="22"/>
  <c r="V251" i="22" s="1"/>
  <c r="V249" i="22"/>
  <c r="V248" i="22" s="1"/>
  <c r="V246" i="22"/>
  <c r="V245" i="22" s="1"/>
  <c r="V244" i="22"/>
  <c r="V239" i="22"/>
  <c r="V234" i="22"/>
  <c r="V233" i="22" s="1"/>
  <c r="V221" i="22"/>
  <c r="V202" i="22"/>
  <c r="V201" i="22" s="1"/>
  <c r="V200" i="22" s="1"/>
  <c r="V189" i="22"/>
  <c r="V188" i="22" s="1"/>
  <c r="V185" i="22"/>
  <c r="V184" i="22" s="1"/>
  <c r="V177" i="22"/>
  <c r="V176" i="22" s="1"/>
  <c r="V174" i="22"/>
  <c r="V173" i="22" s="1"/>
  <c r="V169" i="22"/>
  <c r="V168" i="22" s="1"/>
  <c r="V167" i="22" s="1"/>
  <c r="V166" i="22" s="1"/>
  <c r="V164" i="22"/>
  <c r="V162" i="22" s="1"/>
  <c r="V161" i="22" s="1"/>
  <c r="V160" i="22" s="1"/>
  <c r="V159" i="22" s="1"/>
  <c r="V156" i="22"/>
  <c r="V153" i="22" s="1"/>
  <c r="V152" i="22" s="1"/>
  <c r="V151" i="22" s="1"/>
  <c r="V150" i="22" s="1"/>
  <c r="V148" i="22"/>
  <c r="V147" i="22" s="1"/>
  <c r="V146" i="22" s="1"/>
  <c r="V145" i="22" s="1"/>
  <c r="V144" i="22"/>
  <c r="V143" i="22" s="1"/>
  <c r="V142" i="22"/>
  <c r="V141" i="22" s="1"/>
  <c r="V138" i="22"/>
  <c r="V137" i="22" s="1"/>
  <c r="V132" i="22"/>
  <c r="V131" i="22" s="1"/>
  <c r="V125" i="22"/>
  <c r="V124" i="22" s="1"/>
  <c r="V121" i="22"/>
  <c r="V119" i="22"/>
  <c r="V109" i="22"/>
  <c r="V107" i="22"/>
  <c r="V105" i="22"/>
  <c r="V102" i="22"/>
  <c r="V100" i="22" s="1"/>
  <c r="V97" i="22"/>
  <c r="V96" i="22" s="1"/>
  <c r="V94" i="22"/>
  <c r="V93" i="22" s="1"/>
  <c r="V92" i="22" s="1"/>
  <c r="V84" i="22"/>
  <c r="V83" i="22" s="1"/>
  <c r="V81" i="22"/>
  <c r="V79" i="22"/>
  <c r="V78" i="22" s="1"/>
  <c r="V72" i="22"/>
  <c r="V71" i="22" s="1"/>
  <c r="V70" i="22" s="1"/>
  <c r="V67" i="22"/>
  <c r="V66" i="22" s="1"/>
  <c r="V65" i="22" s="1"/>
  <c r="V63" i="22"/>
  <c r="V62" i="22" s="1"/>
  <c r="V61" i="22" s="1"/>
  <c r="V56" i="22"/>
  <c r="V55" i="22" s="1"/>
  <c r="V54" i="22" s="1"/>
  <c r="V52" i="22"/>
  <c r="V51" i="22" s="1"/>
  <c r="V48" i="22"/>
  <c r="V45" i="22"/>
  <c r="V43" i="22"/>
  <c r="V41" i="22"/>
  <c r="V38" i="22"/>
  <c r="V33" i="22"/>
  <c r="V32" i="22"/>
  <c r="V31" i="22" s="1"/>
  <c r="W348" i="22" l="1"/>
  <c r="W405" i="22"/>
  <c r="W404" i="22" s="1"/>
  <c r="W403" i="22" s="1"/>
  <c r="W402" i="22" s="1"/>
  <c r="W396" i="22" s="1"/>
  <c r="W531" i="22"/>
  <c r="V531" i="22"/>
  <c r="W338" i="22"/>
  <c r="W339" i="22"/>
  <c r="W601" i="22"/>
  <c r="V338" i="22"/>
  <c r="V339" i="22"/>
  <c r="W304" i="22"/>
  <c r="W305" i="22"/>
  <c r="V304" i="22"/>
  <c r="V305" i="22"/>
  <c r="V255" i="22"/>
  <c r="V243" i="22" s="1"/>
  <c r="V242" i="22" s="1"/>
  <c r="V241" i="22" s="1"/>
  <c r="V256" i="22"/>
  <c r="V467" i="22"/>
  <c r="V468" i="22"/>
  <c r="V542" i="22"/>
  <c r="V543" i="22"/>
  <c r="V601" i="22"/>
  <c r="V602" i="22"/>
  <c r="W284" i="22"/>
  <c r="W283" i="22" s="1"/>
  <c r="W282" i="22" s="1"/>
  <c r="W286" i="22"/>
  <c r="W572" i="22"/>
  <c r="W573" i="22"/>
  <c r="W598" i="22"/>
  <c r="W660" i="22"/>
  <c r="W661" i="22"/>
  <c r="V590" i="22"/>
  <c r="V591" i="22"/>
  <c r="V219" i="22"/>
  <c r="V220" i="22"/>
  <c r="V261" i="22"/>
  <c r="V260" i="22" s="1"/>
  <c r="V259" i="22" s="1"/>
  <c r="V254" i="22" s="1"/>
  <c r="V262" i="22"/>
  <c r="V278" i="22"/>
  <c r="V279" i="22"/>
  <c r="V579" i="22"/>
  <c r="V580" i="22"/>
  <c r="W237" i="22"/>
  <c r="W232" i="22" s="1"/>
  <c r="W229" i="22" s="1"/>
  <c r="W238" i="22"/>
  <c r="W273" i="22"/>
  <c r="W272" i="22" s="1"/>
  <c r="W267" i="22" s="1"/>
  <c r="W274" i="22"/>
  <c r="W319" i="22"/>
  <c r="W318" i="22" s="1"/>
  <c r="W320" i="22"/>
  <c r="W467" i="22"/>
  <c r="W468" i="22"/>
  <c r="W542" i="22"/>
  <c r="W543" i="22"/>
  <c r="W590" i="22"/>
  <c r="W591" i="22"/>
  <c r="V181" i="22"/>
  <c r="V180" i="22" s="1"/>
  <c r="V284" i="22"/>
  <c r="V283" i="22" s="1"/>
  <c r="V282" i="22" s="1"/>
  <c r="V286" i="22"/>
  <c r="V313" i="22"/>
  <c r="V314" i="22"/>
  <c r="V549" i="22"/>
  <c r="V550" i="22"/>
  <c r="W218" i="22"/>
  <c r="W216" i="22" s="1"/>
  <c r="W220" i="22"/>
  <c r="W292" i="22"/>
  <c r="W293" i="22"/>
  <c r="W579" i="22"/>
  <c r="W580" i="22"/>
  <c r="V237" i="22"/>
  <c r="V232" i="22" s="1"/>
  <c r="V229" i="22" s="1"/>
  <c r="V228" i="22" s="1"/>
  <c r="V238" i="22"/>
  <c r="V273" i="22"/>
  <c r="V272" i="22" s="1"/>
  <c r="V267" i="22" s="1"/>
  <c r="V274" i="22"/>
  <c r="V319" i="22"/>
  <c r="V318" i="22" s="1"/>
  <c r="V320" i="22"/>
  <c r="V496" i="22"/>
  <c r="V497" i="22"/>
  <c r="V572" i="22"/>
  <c r="V573" i="22"/>
  <c r="V598" i="22"/>
  <c r="V660" i="22"/>
  <c r="V661" i="22"/>
  <c r="W261" i="22"/>
  <c r="W260" i="22" s="1"/>
  <c r="W259" i="22" s="1"/>
  <c r="W254" i="22" s="1"/>
  <c r="W262" i="22"/>
  <c r="W278" i="22"/>
  <c r="W279" i="22"/>
  <c r="W549" i="22"/>
  <c r="W550" i="22"/>
  <c r="W644" i="22"/>
  <c r="W645" i="22"/>
  <c r="N590" i="22"/>
  <c r="N591" i="22"/>
  <c r="W568" i="22"/>
  <c r="W569" i="22"/>
  <c r="V568" i="22"/>
  <c r="V569" i="22"/>
  <c r="W500" i="22"/>
  <c r="W443" i="22" s="1"/>
  <c r="W442" i="22" s="1"/>
  <c r="W503" i="22"/>
  <c r="V500" i="22"/>
  <c r="V503" i="22"/>
  <c r="W296" i="22"/>
  <c r="W297" i="22"/>
  <c r="W313" i="22"/>
  <c r="W314" i="22"/>
  <c r="V292" i="22"/>
  <c r="V293" i="22"/>
  <c r="V296" i="22"/>
  <c r="V297" i="22"/>
  <c r="V518" i="22"/>
  <c r="V517" i="22" s="1"/>
  <c r="V516" i="22" s="1"/>
  <c r="V519" i="22"/>
  <c r="W518" i="22"/>
  <c r="W517" i="22" s="1"/>
  <c r="W516" i="22" s="1"/>
  <c r="W519" i="22"/>
  <c r="W438" i="22"/>
  <c r="W437" i="22" s="1"/>
  <c r="W436" i="22" s="1"/>
  <c r="W439" i="22"/>
  <c r="V438" i="22"/>
  <c r="V437" i="22" s="1"/>
  <c r="V436" i="22" s="1"/>
  <c r="V439" i="22"/>
  <c r="V207" i="22"/>
  <c r="V206" i="22" s="1"/>
  <c r="V205" i="22" s="1"/>
  <c r="V197" i="22" s="1"/>
  <c r="V208" i="22"/>
  <c r="W207" i="22"/>
  <c r="W206" i="22" s="1"/>
  <c r="W205" i="22" s="1"/>
  <c r="W197" i="22" s="1"/>
  <c r="W208" i="22"/>
  <c r="V348" i="22"/>
  <c r="W118" i="22"/>
  <c r="W112" i="22" s="1"/>
  <c r="V118" i="22"/>
  <c r="V112" i="22" s="1"/>
  <c r="W633" i="22"/>
  <c r="W664" i="22"/>
  <c r="V633" i="22"/>
  <c r="W104" i="22"/>
  <c r="W99" i="22" s="1"/>
  <c r="V104" i="22"/>
  <c r="W140" i="22"/>
  <c r="W136" i="22" s="1"/>
  <c r="W158" i="22"/>
  <c r="V664" i="22"/>
  <c r="W37" i="22"/>
  <c r="W36" i="22" s="1"/>
  <c r="W27" i="22" s="1"/>
  <c r="V37" i="22"/>
  <c r="V36" i="22" s="1"/>
  <c r="V27" i="22" s="1"/>
  <c r="V99" i="22"/>
  <c r="V123" i="22"/>
  <c r="V172" i="22"/>
  <c r="W78" i="22"/>
  <c r="W77" i="22" s="1"/>
  <c r="W76" i="22" s="1"/>
  <c r="W75" i="22" s="1"/>
  <c r="W243" i="22"/>
  <c r="W242" i="22" s="1"/>
  <c r="W241" i="22" s="1"/>
  <c r="W123" i="22"/>
  <c r="V158" i="22"/>
  <c r="W91" i="22"/>
  <c r="W90" i="22" s="1"/>
  <c r="W219" i="22"/>
  <c r="W289" i="22"/>
  <c r="V289" i="22"/>
  <c r="V443" i="22"/>
  <c r="V442" i="22" s="1"/>
  <c r="W181" i="22"/>
  <c r="W172" i="22"/>
  <c r="V91" i="22"/>
  <c r="V90" i="22" s="1"/>
  <c r="V140" i="22"/>
  <c r="V136" i="22" s="1"/>
  <c r="V77" i="22"/>
  <c r="V76" i="22" s="1"/>
  <c r="V75" i="22" s="1"/>
  <c r="V218" i="22"/>
  <c r="V216" i="22" s="1"/>
  <c r="V89" i="22" l="1"/>
  <c r="V179" i="22"/>
  <c r="V26" i="22" s="1"/>
  <c r="V17" i="22" s="1"/>
  <c r="W266" i="22"/>
  <c r="V266" i="22"/>
  <c r="V111" i="22"/>
  <c r="W89" i="22"/>
  <c r="V435" i="22"/>
  <c r="V434" i="22" s="1"/>
  <c r="W435" i="22"/>
  <c r="W434" i="22" s="1"/>
  <c r="W228" i="22"/>
  <c r="W111" i="22"/>
  <c r="W180" i="22"/>
  <c r="W179" i="22"/>
  <c r="V195" i="22" l="1"/>
  <c r="Y194" i="22" s="1"/>
  <c r="W195" i="22"/>
  <c r="Z194" i="22" s="1"/>
  <c r="W26" i="22"/>
  <c r="W17" i="22" s="1"/>
  <c r="N244" i="22"/>
  <c r="N290" i="22"/>
  <c r="N309" i="22"/>
  <c r="N308" i="22" s="1"/>
  <c r="N333" i="22"/>
  <c r="N350" i="22"/>
  <c r="N444" i="22"/>
  <c r="N446" i="22"/>
  <c r="N445" i="22" s="1"/>
  <c r="N498" i="22"/>
  <c r="N504" i="22"/>
  <c r="N525" i="22"/>
  <c r="N524" i="22" s="1"/>
  <c r="N523" i="22" s="1"/>
  <c r="N522" i="22" s="1"/>
  <c r="N540" i="22"/>
  <c r="N536" i="22" s="1"/>
  <c r="N581" i="22"/>
  <c r="N588" i="22"/>
  <c r="N584" i="22" s="1"/>
  <c r="N583" i="22" s="1"/>
  <c r="N603" i="22"/>
  <c r="N644" i="22"/>
  <c r="H500" i="23"/>
  <c r="H499" i="23" s="1"/>
  <c r="H498" i="23" s="1"/>
  <c r="H497" i="23" s="1"/>
  <c r="H496" i="23" s="1"/>
  <c r="U500" i="23"/>
  <c r="N500" i="23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N499" i="23"/>
  <c r="N498" i="23" s="1"/>
  <c r="N497" i="23" s="1"/>
  <c r="N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N482" i="23" s="1"/>
  <c r="N481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J431" i="23"/>
  <c r="I431" i="23"/>
  <c r="H431" i="23"/>
  <c r="H430" i="23" s="1"/>
  <c r="N430" i="23"/>
  <c r="J430" i="23"/>
  <c r="I430" i="23"/>
  <c r="U423" i="23"/>
  <c r="U422" i="23" s="1"/>
  <c r="U421" i="23" s="1"/>
  <c r="U420" i="23" s="1"/>
  <c r="U419" i="23" s="1"/>
  <c r="N423" i="23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N422" i="23"/>
  <c r="N421" i="23" s="1"/>
  <c r="N420" i="23" s="1"/>
  <c r="N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J411" i="23"/>
  <c r="I411" i="23"/>
  <c r="H411" i="23"/>
  <c r="H410" i="23" s="1"/>
  <c r="H409" i="23" s="1"/>
  <c r="N410" i="23"/>
  <c r="N409" i="23" s="1"/>
  <c r="J410" i="23"/>
  <c r="J409" i="23" s="1"/>
  <c r="J408" i="23" s="1"/>
  <c r="J407" i="23" s="1"/>
  <c r="I410" i="23"/>
  <c r="I409" i="23" s="1"/>
  <c r="I408" i="23" s="1"/>
  <c r="I407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U330" i="23"/>
  <c r="U329" i="23" s="1"/>
  <c r="N330" i="23"/>
  <c r="N329" i="23" s="1"/>
  <c r="H330" i="23"/>
  <c r="H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H169" i="23" s="1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I112" i="23"/>
  <c r="I111" i="23" s="1"/>
  <c r="I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668" i="22"/>
  <c r="P667" i="22" s="1"/>
  <c r="O668" i="22"/>
  <c r="O667" i="22" s="1"/>
  <c r="J668" i="22"/>
  <c r="J667" i="22" s="1"/>
  <c r="R667" i="22"/>
  <c r="Q667" i="22"/>
  <c r="N667" i="22"/>
  <c r="P666" i="22"/>
  <c r="P665" i="22" s="1"/>
  <c r="O666" i="22"/>
  <c r="O665" i="22" s="1"/>
  <c r="J666" i="22"/>
  <c r="R665" i="22"/>
  <c r="Q665" i="22"/>
  <c r="N665" i="22"/>
  <c r="J665" i="22"/>
  <c r="M664" i="22"/>
  <c r="L664" i="22"/>
  <c r="R662" i="22"/>
  <c r="R660" i="22" s="1"/>
  <c r="Q662" i="22"/>
  <c r="Q660" i="22" s="1"/>
  <c r="P662" i="22"/>
  <c r="P660" i="22" s="1"/>
  <c r="O662" i="22"/>
  <c r="O660" i="22" s="1"/>
  <c r="N662" i="22"/>
  <c r="J662" i="22"/>
  <c r="J660" i="22" s="1"/>
  <c r="R658" i="22"/>
  <c r="R657" i="22" s="1"/>
  <c r="Q658" i="22"/>
  <c r="Q657" i="22" s="1"/>
  <c r="N658" i="22"/>
  <c r="N657" i="22" s="1"/>
  <c r="R655" i="22"/>
  <c r="Q655" i="22"/>
  <c r="Q654" i="22" s="1"/>
  <c r="N655" i="22"/>
  <c r="N654" i="22" s="1"/>
  <c r="M655" i="22"/>
  <c r="M654" i="22" s="1"/>
  <c r="R654" i="22"/>
  <c r="N652" i="22"/>
  <c r="N651" i="22" s="1"/>
  <c r="J650" i="22"/>
  <c r="R649" i="22"/>
  <c r="Q649" i="22"/>
  <c r="N649" i="22"/>
  <c r="N648" i="22" s="1"/>
  <c r="J649" i="22"/>
  <c r="J647" i="22"/>
  <c r="R646" i="22"/>
  <c r="Q646" i="22"/>
  <c r="N646" i="22"/>
  <c r="N645" i="22" s="1"/>
  <c r="J646" i="22"/>
  <c r="R644" i="22"/>
  <c r="M644" i="22"/>
  <c r="L644" i="22"/>
  <c r="N642" i="22"/>
  <c r="N641" i="22" s="1"/>
  <c r="J640" i="22"/>
  <c r="R639" i="22"/>
  <c r="R638" i="22" s="1"/>
  <c r="Q639" i="22"/>
  <c r="Q638" i="22" s="1"/>
  <c r="N639" i="22"/>
  <c r="N638" i="22" s="1"/>
  <c r="J637" i="22"/>
  <c r="J636" i="22" s="1"/>
  <c r="R636" i="22"/>
  <c r="Q636" i="22"/>
  <c r="P636" i="22"/>
  <c r="O636" i="22"/>
  <c r="O633" i="22" s="1"/>
  <c r="N636" i="22"/>
  <c r="J635" i="22"/>
  <c r="J634" i="22" s="1"/>
  <c r="R634" i="22"/>
  <c r="Q634" i="22"/>
  <c r="P634" i="22"/>
  <c r="P633" i="22" s="1"/>
  <c r="O634" i="22"/>
  <c r="N634" i="22"/>
  <c r="R632" i="22"/>
  <c r="R631" i="22" s="1"/>
  <c r="R630" i="22" s="1"/>
  <c r="Q632" i="22"/>
  <c r="Q631" i="22" s="1"/>
  <c r="Q630" i="22" s="1"/>
  <c r="N632" i="22"/>
  <c r="N631" i="22" s="1"/>
  <c r="N630" i="22" s="1"/>
  <c r="R626" i="22"/>
  <c r="Q626" i="22"/>
  <c r="P626" i="22"/>
  <c r="O626" i="22"/>
  <c r="N626" i="22"/>
  <c r="M626" i="22"/>
  <c r="L626" i="22"/>
  <c r="J626" i="22"/>
  <c r="R625" i="22"/>
  <c r="Q625" i="22"/>
  <c r="P625" i="22"/>
  <c r="O625" i="22"/>
  <c r="N625" i="22"/>
  <c r="M625" i="22"/>
  <c r="L625" i="22"/>
  <c r="J625" i="22"/>
  <c r="M622" i="22"/>
  <c r="L622" i="22"/>
  <c r="R620" i="22"/>
  <c r="R619" i="22" s="1"/>
  <c r="Q620" i="22"/>
  <c r="P620" i="22"/>
  <c r="P619" i="22" s="1"/>
  <c r="O620" i="22"/>
  <c r="O619" i="22" s="1"/>
  <c r="N620" i="22"/>
  <c r="N619" i="22" s="1"/>
  <c r="Q619" i="22"/>
  <c r="M619" i="22"/>
  <c r="L619" i="22"/>
  <c r="R617" i="22"/>
  <c r="R616" i="22" s="1"/>
  <c r="Q617" i="22"/>
  <c r="Q616" i="22" s="1"/>
  <c r="N617" i="22"/>
  <c r="N616" i="22" s="1"/>
  <c r="J615" i="22"/>
  <c r="J614" i="22" s="1"/>
  <c r="J613" i="22" s="1"/>
  <c r="R614" i="22"/>
  <c r="R613" i="22" s="1"/>
  <c r="Q614" i="22"/>
  <c r="Q613" i="22" s="1"/>
  <c r="P614" i="22"/>
  <c r="O614" i="22"/>
  <c r="O613" i="22" s="1"/>
  <c r="N614" i="22"/>
  <c r="N613" i="22" s="1"/>
  <c r="P613" i="22"/>
  <c r="AC611" i="22"/>
  <c r="R611" i="22"/>
  <c r="R610" i="22" s="1"/>
  <c r="Q611" i="22"/>
  <c r="Q610" i="22" s="1"/>
  <c r="P611" i="22"/>
  <c r="P610" i="22" s="1"/>
  <c r="O611" i="22"/>
  <c r="O610" i="22" s="1"/>
  <c r="N611" i="22"/>
  <c r="N610" i="22" s="1"/>
  <c r="J611" i="22"/>
  <c r="J610" i="22" s="1"/>
  <c r="R608" i="22"/>
  <c r="R607" i="22" s="1"/>
  <c r="Q608" i="22"/>
  <c r="Q607" i="22" s="1"/>
  <c r="P608" i="22"/>
  <c r="P607" i="22" s="1"/>
  <c r="O608" i="22"/>
  <c r="O607" i="22" s="1"/>
  <c r="N608" i="22"/>
  <c r="N607" i="22" s="1"/>
  <c r="J608" i="22"/>
  <c r="J607" i="22" s="1"/>
  <c r="R605" i="22"/>
  <c r="Q605" i="22"/>
  <c r="P605" i="22"/>
  <c r="O605" i="22"/>
  <c r="N605" i="22"/>
  <c r="M605" i="22"/>
  <c r="L605" i="22"/>
  <c r="K605" i="22"/>
  <c r="J605" i="22"/>
  <c r="J601" i="22" s="1"/>
  <c r="R603" i="22"/>
  <c r="Q603" i="22"/>
  <c r="P603" i="22"/>
  <c r="O603" i="22"/>
  <c r="J589" i="22"/>
  <c r="J588" i="22" s="1"/>
  <c r="J584" i="22" s="1"/>
  <c r="J583" i="22" s="1"/>
  <c r="R588" i="22"/>
  <c r="R584" i="22" s="1"/>
  <c r="R583" i="22" s="1"/>
  <c r="Q588" i="22"/>
  <c r="Q584" i="22" s="1"/>
  <c r="Q583" i="22" s="1"/>
  <c r="P588" i="22"/>
  <c r="P584" i="22" s="1"/>
  <c r="P583" i="22" s="1"/>
  <c r="O588" i="22"/>
  <c r="O584" i="22" s="1"/>
  <c r="O583" i="22" s="1"/>
  <c r="M584" i="22"/>
  <c r="M583" i="22" s="1"/>
  <c r="L584" i="22"/>
  <c r="L583" i="22" s="1"/>
  <c r="R581" i="22"/>
  <c r="R579" i="22" s="1"/>
  <c r="Q581" i="22"/>
  <c r="Q579" i="22" s="1"/>
  <c r="P581" i="22"/>
  <c r="P579" i="22" s="1"/>
  <c r="O581" i="22"/>
  <c r="O579" i="22" s="1"/>
  <c r="J581" i="22"/>
  <c r="J579" i="22" s="1"/>
  <c r="M579" i="22"/>
  <c r="L579" i="22"/>
  <c r="R577" i="22"/>
  <c r="R576" i="22" s="1"/>
  <c r="Q577" i="22"/>
  <c r="Q576" i="22" s="1"/>
  <c r="N577" i="22"/>
  <c r="N576" i="22" s="1"/>
  <c r="N574" i="22"/>
  <c r="R570" i="22"/>
  <c r="R568" i="22" s="1"/>
  <c r="Q570" i="22"/>
  <c r="Q568" i="22" s="1"/>
  <c r="N570" i="22"/>
  <c r="R566" i="22"/>
  <c r="R565" i="22" s="1"/>
  <c r="Q566" i="22"/>
  <c r="Q565" i="22" s="1"/>
  <c r="P566" i="22"/>
  <c r="P565" i="22" s="1"/>
  <c r="O566" i="22"/>
  <c r="O565" i="22" s="1"/>
  <c r="N566" i="22"/>
  <c r="N565" i="22" s="1"/>
  <c r="J566" i="22"/>
  <c r="J565" i="22" s="1"/>
  <c r="M565" i="22"/>
  <c r="L565" i="22"/>
  <c r="R563" i="22"/>
  <c r="R562" i="22" s="1"/>
  <c r="Q563" i="22"/>
  <c r="Q562" i="22" s="1"/>
  <c r="P563" i="22"/>
  <c r="P562" i="22" s="1"/>
  <c r="O563" i="22"/>
  <c r="N563" i="22"/>
  <c r="J563" i="22"/>
  <c r="J562" i="22" s="1"/>
  <c r="O562" i="22"/>
  <c r="N562" i="22"/>
  <c r="M562" i="22"/>
  <c r="L562" i="22"/>
  <c r="R556" i="22"/>
  <c r="Q556" i="22"/>
  <c r="P556" i="22"/>
  <c r="O556" i="22"/>
  <c r="N556" i="22"/>
  <c r="J556" i="22"/>
  <c r="J552" i="22"/>
  <c r="J551" i="22" s="1"/>
  <c r="J549" i="22" s="1"/>
  <c r="R551" i="22"/>
  <c r="R549" i="22" s="1"/>
  <c r="Q551" i="22"/>
  <c r="P551" i="22"/>
  <c r="O551" i="22"/>
  <c r="O549" i="22" s="1"/>
  <c r="N551" i="22"/>
  <c r="Q549" i="22"/>
  <c r="P549" i="22"/>
  <c r="M549" i="22"/>
  <c r="L549" i="22"/>
  <c r="N547" i="22"/>
  <c r="N546" i="22" s="1"/>
  <c r="R544" i="22"/>
  <c r="R542" i="22" s="1"/>
  <c r="Q544" i="22"/>
  <c r="P544" i="22"/>
  <c r="P542" i="22" s="1"/>
  <c r="O544" i="22"/>
  <c r="O542" i="22" s="1"/>
  <c r="N544" i="22"/>
  <c r="M544" i="22"/>
  <c r="L544" i="22"/>
  <c r="K544" i="22"/>
  <c r="J544" i="22"/>
  <c r="J542" i="22" s="1"/>
  <c r="Q542" i="22"/>
  <c r="R536" i="22"/>
  <c r="R541" i="22" s="1"/>
  <c r="R540" i="22" s="1"/>
  <c r="Q536" i="22"/>
  <c r="Q541" i="22" s="1"/>
  <c r="Q540" i="22" s="1"/>
  <c r="P536" i="22"/>
  <c r="P541" i="22" s="1"/>
  <c r="P540" i="22" s="1"/>
  <c r="O536" i="22"/>
  <c r="O541" i="22" s="1"/>
  <c r="O540" i="22" s="1"/>
  <c r="N534" i="22"/>
  <c r="J535" i="22"/>
  <c r="J534" i="22" s="1"/>
  <c r="R534" i="22"/>
  <c r="Q534" i="22"/>
  <c r="P534" i="22"/>
  <c r="O534" i="22"/>
  <c r="N532" i="22"/>
  <c r="R529" i="22"/>
  <c r="Q529" i="22"/>
  <c r="P529" i="22"/>
  <c r="O529" i="22"/>
  <c r="N529" i="22"/>
  <c r="J529" i="22"/>
  <c r="R527" i="22"/>
  <c r="Q527" i="22"/>
  <c r="P527" i="22"/>
  <c r="P525" i="22" s="1"/>
  <c r="O527" i="22"/>
  <c r="O525" i="22" s="1"/>
  <c r="J527" i="22"/>
  <c r="J525" i="22" s="1"/>
  <c r="M525" i="22"/>
  <c r="M522" i="22" s="1"/>
  <c r="L525" i="22"/>
  <c r="L522" i="22" s="1"/>
  <c r="R524" i="22"/>
  <c r="R523" i="22" s="1"/>
  <c r="R522" i="22" s="1"/>
  <c r="Q524" i="22"/>
  <c r="Q523" i="22" s="1"/>
  <c r="Q522" i="22" s="1"/>
  <c r="P524" i="22"/>
  <c r="P523" i="22" s="1"/>
  <c r="P522" i="22" s="1"/>
  <c r="O524" i="22"/>
  <c r="O523" i="22" s="1"/>
  <c r="O522" i="22" s="1"/>
  <c r="J521" i="22"/>
  <c r="J520" i="22" s="1"/>
  <c r="J518" i="22" s="1"/>
  <c r="J517" i="22" s="1"/>
  <c r="J516" i="22" s="1"/>
  <c r="R520" i="22"/>
  <c r="R518" i="22" s="1"/>
  <c r="R517" i="22" s="1"/>
  <c r="R516" i="22" s="1"/>
  <c r="Q520" i="22"/>
  <c r="Q518" i="22" s="1"/>
  <c r="Q517" i="22" s="1"/>
  <c r="Q516" i="22" s="1"/>
  <c r="P520" i="22"/>
  <c r="P518" i="22" s="1"/>
  <c r="P517" i="22" s="1"/>
  <c r="P516" i="22" s="1"/>
  <c r="O520" i="22"/>
  <c r="O518" i="22" s="1"/>
  <c r="O517" i="22" s="1"/>
  <c r="O516" i="22" s="1"/>
  <c r="N520" i="22"/>
  <c r="M518" i="22"/>
  <c r="L518" i="22"/>
  <c r="R515" i="22"/>
  <c r="R514" i="22" s="1"/>
  <c r="R513" i="22" s="1"/>
  <c r="R512" i="22" s="1"/>
  <c r="R511" i="22" s="1"/>
  <c r="Q515" i="22"/>
  <c r="Q514" i="22" s="1"/>
  <c r="Q513" i="22" s="1"/>
  <c r="Q512" i="22" s="1"/>
  <c r="Q511" i="22" s="1"/>
  <c r="N515" i="22"/>
  <c r="N514" i="22" s="1"/>
  <c r="N513" i="22" s="1"/>
  <c r="N512" i="22" s="1"/>
  <c r="N511" i="22" s="1"/>
  <c r="P514" i="22"/>
  <c r="P513" i="22" s="1"/>
  <c r="P512" i="22" s="1"/>
  <c r="P511" i="22" s="1"/>
  <c r="P435" i="22" s="1"/>
  <c r="O514" i="22"/>
  <c r="O513" i="22" s="1"/>
  <c r="O512" i="22" s="1"/>
  <c r="O511" i="22" s="1"/>
  <c r="O435" i="22" s="1"/>
  <c r="O442" i="22" s="1"/>
  <c r="R509" i="22"/>
  <c r="R508" i="22" s="1"/>
  <c r="R507" i="22" s="1"/>
  <c r="R506" i="22" s="1"/>
  <c r="Q509" i="22"/>
  <c r="Q508" i="22" s="1"/>
  <c r="Q507" i="22" s="1"/>
  <c r="Q506" i="22" s="1"/>
  <c r="P509" i="22"/>
  <c r="P508" i="22" s="1"/>
  <c r="P507" i="22" s="1"/>
  <c r="P506" i="22" s="1"/>
  <c r="O509" i="22"/>
  <c r="O508" i="22" s="1"/>
  <c r="O507" i="22" s="1"/>
  <c r="O506" i="22" s="1"/>
  <c r="N509" i="22"/>
  <c r="N508" i="22" s="1"/>
  <c r="N507" i="22" s="1"/>
  <c r="N506" i="22" s="1"/>
  <c r="J509" i="22"/>
  <c r="J508" i="22" s="1"/>
  <c r="J507" i="22" s="1"/>
  <c r="J506" i="22" s="1"/>
  <c r="M508" i="22"/>
  <c r="M507" i="22" s="1"/>
  <c r="M506" i="22" s="1"/>
  <c r="L508" i="22"/>
  <c r="L507" i="22" s="1"/>
  <c r="L506" i="22" s="1"/>
  <c r="J505" i="22"/>
  <c r="J504" i="22" s="1"/>
  <c r="R504" i="22"/>
  <c r="Q504" i="22"/>
  <c r="P504" i="22"/>
  <c r="O504" i="22"/>
  <c r="M502" i="22"/>
  <c r="L502" i="22"/>
  <c r="J502" i="22"/>
  <c r="R501" i="22"/>
  <c r="Q501" i="22"/>
  <c r="P501" i="22"/>
  <c r="O501" i="22"/>
  <c r="N501" i="22"/>
  <c r="M501" i="22"/>
  <c r="M500" i="22" s="1"/>
  <c r="L501" i="22"/>
  <c r="L500" i="22" s="1"/>
  <c r="J501" i="22"/>
  <c r="P498" i="22"/>
  <c r="O498" i="22"/>
  <c r="P496" i="22"/>
  <c r="O496" i="22"/>
  <c r="J496" i="22"/>
  <c r="R493" i="22"/>
  <c r="R492" i="22" s="1"/>
  <c r="Q493" i="22"/>
  <c r="Q492" i="22" s="1"/>
  <c r="P493" i="22"/>
  <c r="O493" i="22"/>
  <c r="O492" i="22" s="1"/>
  <c r="N493" i="22"/>
  <c r="N492" i="22" s="1"/>
  <c r="J493" i="22"/>
  <c r="J492" i="22" s="1"/>
  <c r="P492" i="22"/>
  <c r="M492" i="22"/>
  <c r="L492" i="22"/>
  <c r="R490" i="22"/>
  <c r="R488" i="22" s="1"/>
  <c r="Q490" i="22"/>
  <c r="Q488" i="22" s="1"/>
  <c r="P490" i="22"/>
  <c r="P488" i="22" s="1"/>
  <c r="O490" i="22"/>
  <c r="O488" i="22" s="1"/>
  <c r="N490" i="22"/>
  <c r="N488" i="22" s="1"/>
  <c r="J490" i="22"/>
  <c r="J488" i="22" s="1"/>
  <c r="M488" i="22"/>
  <c r="L488" i="22"/>
  <c r="R486" i="22"/>
  <c r="R485" i="22" s="1"/>
  <c r="Q486" i="22"/>
  <c r="Q485" i="22" s="1"/>
  <c r="P486" i="22"/>
  <c r="P485" i="22" s="1"/>
  <c r="O486" i="22"/>
  <c r="O485" i="22" s="1"/>
  <c r="N486" i="22"/>
  <c r="J486" i="22"/>
  <c r="J485" i="22" s="1"/>
  <c r="N485" i="22"/>
  <c r="M485" i="22"/>
  <c r="L485" i="22"/>
  <c r="R483" i="22"/>
  <c r="R482" i="22" s="1"/>
  <c r="R481" i="22" s="1"/>
  <c r="R480" i="22" s="1"/>
  <c r="Q483" i="22"/>
  <c r="Q482" i="22" s="1"/>
  <c r="Q481" i="22" s="1"/>
  <c r="Q480" i="22" s="1"/>
  <c r="P483" i="22"/>
  <c r="P482" i="22" s="1"/>
  <c r="P481" i="22" s="1"/>
  <c r="P480" i="22" s="1"/>
  <c r="O483" i="22"/>
  <c r="O482" i="22" s="1"/>
  <c r="O481" i="22" s="1"/>
  <c r="O480" i="22" s="1"/>
  <c r="N483" i="22"/>
  <c r="N482" i="22" s="1"/>
  <c r="N481" i="22" s="1"/>
  <c r="N480" i="22" s="1"/>
  <c r="J483" i="22"/>
  <c r="J482" i="22" s="1"/>
  <c r="J481" i="22" s="1"/>
  <c r="J480" i="22" s="1"/>
  <c r="M482" i="22"/>
  <c r="L482" i="22"/>
  <c r="R478" i="22"/>
  <c r="R477" i="22" s="1"/>
  <c r="Q478" i="22"/>
  <c r="Q477" i="22" s="1"/>
  <c r="P478" i="22"/>
  <c r="P477" i="22" s="1"/>
  <c r="O478" i="22"/>
  <c r="O477" i="22" s="1"/>
  <c r="N478" i="22"/>
  <c r="N477" i="22" s="1"/>
  <c r="J478" i="22"/>
  <c r="J477" i="22" s="1"/>
  <c r="R473" i="22"/>
  <c r="Q473" i="22"/>
  <c r="Q471" i="22" s="1"/>
  <c r="P473" i="22"/>
  <c r="P471" i="22" s="1"/>
  <c r="O473" i="22"/>
  <c r="O471" i="22" s="1"/>
  <c r="N473" i="22"/>
  <c r="J473" i="22"/>
  <c r="J471" i="22" s="1"/>
  <c r="R471" i="22"/>
  <c r="R469" i="22"/>
  <c r="R467" i="22" s="1"/>
  <c r="Q469" i="22"/>
  <c r="Q467" i="22" s="1"/>
  <c r="P469" i="22"/>
  <c r="P467" i="22" s="1"/>
  <c r="O469" i="22"/>
  <c r="O467" i="22" s="1"/>
  <c r="N469" i="22"/>
  <c r="J469" i="22"/>
  <c r="J467" i="22"/>
  <c r="R466" i="22"/>
  <c r="Q466" i="22"/>
  <c r="P466" i="22"/>
  <c r="O466" i="22"/>
  <c r="M466" i="22"/>
  <c r="L466" i="22"/>
  <c r="J466" i="22"/>
  <c r="L464" i="22"/>
  <c r="M464" i="22" s="1"/>
  <c r="N458" i="22"/>
  <c r="N466" i="22"/>
  <c r="R456" i="22"/>
  <c r="Q456" i="22"/>
  <c r="P456" i="22"/>
  <c r="O456" i="22"/>
  <c r="J456" i="22"/>
  <c r="J453" i="22"/>
  <c r="J452" i="22" s="1"/>
  <c r="R452" i="22"/>
  <c r="Q452" i="22"/>
  <c r="P452" i="22"/>
  <c r="O452" i="22"/>
  <c r="N452" i="22"/>
  <c r="R451" i="22"/>
  <c r="Q451" i="22"/>
  <c r="P451" i="22"/>
  <c r="O451" i="22"/>
  <c r="N451" i="22"/>
  <c r="N450" i="22" s="1"/>
  <c r="M451" i="22"/>
  <c r="L451" i="22"/>
  <c r="J449" i="22"/>
  <c r="J447" i="22"/>
  <c r="R446" i="22"/>
  <c r="Q446" i="22"/>
  <c r="P446" i="22"/>
  <c r="O446" i="22"/>
  <c r="M446" i="22"/>
  <c r="M443" i="22" s="1"/>
  <c r="L446" i="22"/>
  <c r="L443" i="22" s="1"/>
  <c r="R444" i="22"/>
  <c r="Q444" i="22"/>
  <c r="R443" i="22"/>
  <c r="Q443" i="22"/>
  <c r="R442" i="22"/>
  <c r="Q442" i="22"/>
  <c r="R440" i="22"/>
  <c r="R438" i="22" s="1"/>
  <c r="R437" i="22" s="1"/>
  <c r="R436" i="22" s="1"/>
  <c r="Q440" i="22"/>
  <c r="Q438" i="22" s="1"/>
  <c r="Q437" i="22" s="1"/>
  <c r="Q436" i="22" s="1"/>
  <c r="N440" i="22"/>
  <c r="N431" i="22"/>
  <c r="N430" i="22" s="1"/>
  <c r="N429" i="22" s="1"/>
  <c r="N428" i="22" s="1"/>
  <c r="N424" i="22"/>
  <c r="N423" i="22" s="1"/>
  <c r="N422" i="22" s="1"/>
  <c r="N421" i="22" s="1"/>
  <c r="N420" i="22" s="1"/>
  <c r="R413" i="22"/>
  <c r="R412" i="22" s="1"/>
  <c r="R411" i="22" s="1"/>
  <c r="R410" i="22" s="1"/>
  <c r="Q413" i="22"/>
  <c r="Q412" i="22" s="1"/>
  <c r="Q411" i="22" s="1"/>
  <c r="Q410" i="22" s="1"/>
  <c r="P413" i="22"/>
  <c r="O413" i="22"/>
  <c r="N413" i="22"/>
  <c r="N412" i="22" s="1"/>
  <c r="N411" i="22" s="1"/>
  <c r="N410" i="22" s="1"/>
  <c r="J413" i="22"/>
  <c r="J412" i="22" s="1"/>
  <c r="J411" i="22" s="1"/>
  <c r="J410" i="22" s="1"/>
  <c r="P412" i="22"/>
  <c r="P411" i="22" s="1"/>
  <c r="P410" i="22" s="1"/>
  <c r="O412" i="22"/>
  <c r="O411" i="22" s="1"/>
  <c r="O410" i="22" s="1"/>
  <c r="M412" i="22"/>
  <c r="M410" i="22" s="1"/>
  <c r="L412" i="22"/>
  <c r="L410" i="22" s="1"/>
  <c r="R406" i="22"/>
  <c r="R405" i="22" s="1"/>
  <c r="R404" i="22" s="1"/>
  <c r="R403" i="22" s="1"/>
  <c r="R402" i="22" s="1"/>
  <c r="Q406" i="22"/>
  <c r="Q405" i="22" s="1"/>
  <c r="Q404" i="22" s="1"/>
  <c r="Q403" i="22" s="1"/>
  <c r="Q402" i="22" s="1"/>
  <c r="N405" i="22"/>
  <c r="N404" i="22" s="1"/>
  <c r="N403" i="22" s="1"/>
  <c r="N402" i="22" s="1"/>
  <c r="N396" i="22" s="1"/>
  <c r="R400" i="22"/>
  <c r="R399" i="22" s="1"/>
  <c r="R398" i="22" s="1"/>
  <c r="R397" i="22" s="1"/>
  <c r="Q400" i="22"/>
  <c r="Q399" i="22" s="1"/>
  <c r="Q398" i="22" s="1"/>
  <c r="Q397" i="22" s="1"/>
  <c r="N380" i="22"/>
  <c r="N379" i="22" s="1"/>
  <c r="N378" i="22" s="1"/>
  <c r="N377" i="22" s="1"/>
  <c r="N376" i="22" s="1"/>
  <c r="N374" i="22"/>
  <c r="N373" i="22" s="1"/>
  <c r="N372" i="22" s="1"/>
  <c r="N371" i="22" s="1"/>
  <c r="N370" i="22" s="1"/>
  <c r="N368" i="22"/>
  <c r="N367" i="22" s="1"/>
  <c r="N366" i="22" s="1"/>
  <c r="N365" i="22" s="1"/>
  <c r="N364" i="22" s="1"/>
  <c r="N363" i="22"/>
  <c r="N356" i="22"/>
  <c r="N355" i="22" s="1"/>
  <c r="Q356" i="22"/>
  <c r="P356" i="22"/>
  <c r="O356" i="22"/>
  <c r="R356" i="22"/>
  <c r="N353" i="22"/>
  <c r="R353" i="22"/>
  <c r="R350" i="22" s="1"/>
  <c r="Q353" i="22"/>
  <c r="Q350" i="22" s="1"/>
  <c r="P353" i="22"/>
  <c r="P350" i="22" s="1"/>
  <c r="O353" i="22"/>
  <c r="O350" i="22" s="1"/>
  <c r="N351" i="22"/>
  <c r="R344" i="22"/>
  <c r="Q344" i="22"/>
  <c r="N344" i="22"/>
  <c r="N343" i="22" s="1"/>
  <c r="R340" i="22"/>
  <c r="Q340" i="22"/>
  <c r="P340" i="22"/>
  <c r="O340" i="22"/>
  <c r="O338" i="22" s="1"/>
  <c r="N340" i="22"/>
  <c r="J340" i="22"/>
  <c r="J338" i="22" s="1"/>
  <c r="P338" i="22"/>
  <c r="M338" i="22"/>
  <c r="L338" i="22"/>
  <c r="N334" i="22"/>
  <c r="R334" i="22"/>
  <c r="Q334" i="22"/>
  <c r="P334" i="22"/>
  <c r="O334" i="22"/>
  <c r="M334" i="22"/>
  <c r="M332" i="22" s="1"/>
  <c r="L334" i="22"/>
  <c r="J334" i="22"/>
  <c r="R331" i="22"/>
  <c r="R330" i="22" s="1"/>
  <c r="R328" i="22" s="1"/>
  <c r="N330" i="22"/>
  <c r="N328" i="22" s="1"/>
  <c r="R323" i="22"/>
  <c r="R321" i="22" s="1"/>
  <c r="R319" i="22" s="1"/>
  <c r="R318" i="22" s="1"/>
  <c r="N321" i="22"/>
  <c r="N319" i="22" s="1"/>
  <c r="N318" i="22" s="1"/>
  <c r="Q321" i="22"/>
  <c r="Q319" i="22" s="1"/>
  <c r="Q318" i="22" s="1"/>
  <c r="Q317" i="22" s="1"/>
  <c r="P321" i="22"/>
  <c r="P319" i="22" s="1"/>
  <c r="P318" i="22" s="1"/>
  <c r="P317" i="22" s="1"/>
  <c r="O321" i="22"/>
  <c r="O319" i="22" s="1"/>
  <c r="O318" i="22" s="1"/>
  <c r="O317" i="22" s="1"/>
  <c r="J321" i="22"/>
  <c r="J319" i="22" s="1"/>
  <c r="J318" i="22" s="1"/>
  <c r="J317" i="22" s="1"/>
  <c r="M319" i="22"/>
  <c r="M317" i="22" s="1"/>
  <c r="L319" i="22"/>
  <c r="L317" i="22" s="1"/>
  <c r="R315" i="22"/>
  <c r="R313" i="22" s="1"/>
  <c r="R309" i="22" s="1"/>
  <c r="Q315" i="22"/>
  <c r="Q313" i="22" s="1"/>
  <c r="Q309" i="22" s="1"/>
  <c r="P315" i="22"/>
  <c r="O315" i="22"/>
  <c r="N315" i="22"/>
  <c r="J315" i="22"/>
  <c r="J313" i="22" s="1"/>
  <c r="J309" i="22" s="1"/>
  <c r="J308" i="22" s="1"/>
  <c r="P313" i="22"/>
  <c r="P309" i="22" s="1"/>
  <c r="O313" i="22"/>
  <c r="O309" i="22" s="1"/>
  <c r="R311" i="22"/>
  <c r="R310" i="22" s="1"/>
  <c r="Q311" i="22"/>
  <c r="P311" i="22"/>
  <c r="O311" i="22"/>
  <c r="N311" i="22"/>
  <c r="N310" i="22" s="1"/>
  <c r="Q310" i="22"/>
  <c r="P310" i="22"/>
  <c r="O310" i="22"/>
  <c r="M309" i="22"/>
  <c r="M308" i="22" s="1"/>
  <c r="L309" i="22"/>
  <c r="L308" i="22" s="1"/>
  <c r="R308" i="22"/>
  <c r="Q308" i="22"/>
  <c r="P308" i="22"/>
  <c r="O308" i="22"/>
  <c r="R306" i="22"/>
  <c r="R304" i="22" s="1"/>
  <c r="Q306" i="22"/>
  <c r="Q304" i="22" s="1"/>
  <c r="P306" i="22"/>
  <c r="P304" i="22" s="1"/>
  <c r="O306" i="22"/>
  <c r="O304" i="22" s="1"/>
  <c r="N306" i="22"/>
  <c r="J306" i="22"/>
  <c r="J304" i="22" s="1"/>
  <c r="R302" i="22"/>
  <c r="R301" i="22" s="1"/>
  <c r="Q302" i="22"/>
  <c r="Q301" i="22" s="1"/>
  <c r="P302" i="22"/>
  <c r="P301" i="22" s="1"/>
  <c r="O302" i="22"/>
  <c r="O301" i="22" s="1"/>
  <c r="N302" i="22"/>
  <c r="N301" i="22" s="1"/>
  <c r="J302" i="22"/>
  <c r="J301" i="22" s="1"/>
  <c r="L300" i="22"/>
  <c r="R298" i="22"/>
  <c r="R296" i="22" s="1"/>
  <c r="Q298" i="22"/>
  <c r="Q296" i="22" s="1"/>
  <c r="P298" i="22"/>
  <c r="P296" i="22" s="1"/>
  <c r="O298" i="22"/>
  <c r="O296" i="22" s="1"/>
  <c r="N298" i="22"/>
  <c r="L298" i="22"/>
  <c r="L292" i="22" s="1"/>
  <c r="L290" i="22" s="1"/>
  <c r="J298" i="22"/>
  <c r="J296" i="22" s="1"/>
  <c r="R294" i="22"/>
  <c r="R292" i="22" s="1"/>
  <c r="Q294" i="22"/>
  <c r="Q292" i="22" s="1"/>
  <c r="P294" i="22"/>
  <c r="P292" i="22" s="1"/>
  <c r="O294" i="22"/>
  <c r="O292" i="22" s="1"/>
  <c r="J294" i="22"/>
  <c r="J292" i="22" s="1"/>
  <c r="M292" i="22"/>
  <c r="M290" i="22" s="1"/>
  <c r="R291" i="22"/>
  <c r="R290" i="22" s="1"/>
  <c r="Q291" i="22"/>
  <c r="Q290" i="22" s="1"/>
  <c r="P291" i="22"/>
  <c r="P290" i="22" s="1"/>
  <c r="O291" i="22"/>
  <c r="O290" i="22" s="1"/>
  <c r="J291" i="22"/>
  <c r="J290" i="22" s="1"/>
  <c r="R287" i="22"/>
  <c r="R284" i="22" s="1"/>
  <c r="R283" i="22" s="1"/>
  <c r="R282" i="22" s="1"/>
  <c r="Q287" i="22"/>
  <c r="Q284" i="22" s="1"/>
  <c r="Q283" i="22" s="1"/>
  <c r="Q282" i="22" s="1"/>
  <c r="P287" i="22"/>
  <c r="O287" i="22"/>
  <c r="O284" i="22" s="1"/>
  <c r="O283" i="22" s="1"/>
  <c r="O282" i="22" s="1"/>
  <c r="N287" i="22"/>
  <c r="N286" i="22" s="1"/>
  <c r="P284" i="22"/>
  <c r="P283" i="22" s="1"/>
  <c r="P282" i="22" s="1"/>
  <c r="M284" i="22"/>
  <c r="M282" i="22" s="1"/>
  <c r="L284" i="22"/>
  <c r="L282" i="22" s="1"/>
  <c r="J284" i="22"/>
  <c r="J282" i="22" s="1"/>
  <c r="J283" i="22" s="1"/>
  <c r="R280" i="22"/>
  <c r="R278" i="22" s="1"/>
  <c r="R277" i="22" s="1"/>
  <c r="Q280" i="22"/>
  <c r="Q278" i="22" s="1"/>
  <c r="Q277" i="22" s="1"/>
  <c r="P280" i="22"/>
  <c r="P278" i="22" s="1"/>
  <c r="O280" i="22"/>
  <c r="O278" i="22" s="1"/>
  <c r="O277" i="22" s="1"/>
  <c r="N280" i="22"/>
  <c r="J280" i="22"/>
  <c r="J278" i="22" s="1"/>
  <c r="J272" i="22" s="1"/>
  <c r="M278" i="22"/>
  <c r="L278" i="22"/>
  <c r="R275" i="22"/>
  <c r="R273" i="22" s="1"/>
  <c r="R272" i="22" s="1"/>
  <c r="Q275" i="22"/>
  <c r="Q273" i="22" s="1"/>
  <c r="Q272" i="22" s="1"/>
  <c r="P275" i="22"/>
  <c r="P273" i="22" s="1"/>
  <c r="O275" i="22"/>
  <c r="O273" i="22" s="1"/>
  <c r="N275" i="22"/>
  <c r="R270" i="22"/>
  <c r="R269" i="22" s="1"/>
  <c r="R268" i="22" s="1"/>
  <c r="Q270" i="22"/>
  <c r="Q269" i="22" s="1"/>
  <c r="Q268" i="22" s="1"/>
  <c r="P270" i="22"/>
  <c r="O270" i="22"/>
  <c r="O269" i="22" s="1"/>
  <c r="O268" i="22" s="1"/>
  <c r="N270" i="22"/>
  <c r="N269" i="22" s="1"/>
  <c r="N268" i="22" s="1"/>
  <c r="J270" i="22"/>
  <c r="J269" i="22" s="1"/>
  <c r="P269" i="22"/>
  <c r="P268" i="22" s="1"/>
  <c r="M269" i="22"/>
  <c r="L269" i="22"/>
  <c r="R263" i="22"/>
  <c r="R261" i="22" s="1"/>
  <c r="R260" i="22" s="1"/>
  <c r="Q263" i="22"/>
  <c r="Q261" i="22" s="1"/>
  <c r="Q259" i="22" s="1"/>
  <c r="Q254" i="22" s="1"/>
  <c r="P263" i="22"/>
  <c r="P261" i="22" s="1"/>
  <c r="P259" i="22" s="1"/>
  <c r="P254" i="22" s="1"/>
  <c r="O263" i="22"/>
  <c r="O261" i="22" s="1"/>
  <c r="O260" i="22" s="1"/>
  <c r="N263" i="22"/>
  <c r="J263" i="22"/>
  <c r="J261" i="22" s="1"/>
  <c r="M261" i="22"/>
  <c r="M259" i="22" s="1"/>
  <c r="M254" i="22" s="1"/>
  <c r="L261" i="22"/>
  <c r="L259" i="22" s="1"/>
  <c r="L254" i="22" s="1"/>
  <c r="R257" i="22"/>
  <c r="R255" i="22" s="1"/>
  <c r="Q257" i="22"/>
  <c r="Q255" i="22" s="1"/>
  <c r="N257" i="22"/>
  <c r="M253" i="22"/>
  <c r="R252" i="22"/>
  <c r="Q252" i="22"/>
  <c r="P252" i="22"/>
  <c r="O252" i="22"/>
  <c r="N252" i="22"/>
  <c r="N251" i="22" s="1"/>
  <c r="J252" i="22"/>
  <c r="R249" i="22"/>
  <c r="Q249" i="22"/>
  <c r="P249" i="22"/>
  <c r="O249" i="22"/>
  <c r="N249" i="22"/>
  <c r="N248" i="22" s="1"/>
  <c r="L249" i="22"/>
  <c r="L253" i="22" s="1"/>
  <c r="J249" i="22"/>
  <c r="R246" i="22"/>
  <c r="Q246" i="22"/>
  <c r="P246" i="22"/>
  <c r="O246" i="22"/>
  <c r="N246" i="22"/>
  <c r="N245" i="22" s="1"/>
  <c r="J246" i="22"/>
  <c r="M244" i="22"/>
  <c r="M242" i="22" s="1"/>
  <c r="M241" i="22" s="1"/>
  <c r="R240" i="22"/>
  <c r="R239" i="22" s="1"/>
  <c r="R237" i="22" s="1"/>
  <c r="Q240" i="22"/>
  <c r="Q239" i="22" s="1"/>
  <c r="Q237" i="22" s="1"/>
  <c r="P239" i="22"/>
  <c r="P237" i="22" s="1"/>
  <c r="P232" i="22" s="1"/>
  <c r="P229" i="22" s="1"/>
  <c r="O239" i="22"/>
  <c r="O237" i="22" s="1"/>
  <c r="O232" i="22" s="1"/>
  <c r="O229" i="22" s="1"/>
  <c r="N239" i="22"/>
  <c r="J239" i="22"/>
  <c r="J237" i="22" s="1"/>
  <c r="M237" i="22"/>
  <c r="M229" i="22" s="1"/>
  <c r="L237" i="22"/>
  <c r="L229" i="22" s="1"/>
  <c r="R234" i="22"/>
  <c r="R233" i="22" s="1"/>
  <c r="Q234" i="22"/>
  <c r="Q233" i="22" s="1"/>
  <c r="N234" i="22"/>
  <c r="N233" i="22" s="1"/>
  <c r="R221" i="22"/>
  <c r="R218" i="22" s="1"/>
  <c r="R216" i="22" s="1"/>
  <c r="Q221" i="22"/>
  <c r="Q219" i="22" s="1"/>
  <c r="P221" i="22"/>
  <c r="P219" i="22" s="1"/>
  <c r="O221" i="22"/>
  <c r="O219" i="22" s="1"/>
  <c r="N221" i="22"/>
  <c r="J221" i="22"/>
  <c r="J219" i="22" s="1"/>
  <c r="P218" i="22"/>
  <c r="P216" i="22" s="1"/>
  <c r="M218" i="22"/>
  <c r="M216" i="22" s="1"/>
  <c r="L218" i="22"/>
  <c r="L216" i="22" s="1"/>
  <c r="R209" i="22"/>
  <c r="R206" i="22" s="1"/>
  <c r="R205" i="22" s="1"/>
  <c r="Q209" i="22"/>
  <c r="Q206" i="22" s="1"/>
  <c r="Q205" i="22" s="1"/>
  <c r="P209" i="22"/>
  <c r="P206" i="22" s="1"/>
  <c r="P205" i="22" s="1"/>
  <c r="O209" i="22"/>
  <c r="O206" i="22" s="1"/>
  <c r="O205" i="22" s="1"/>
  <c r="N209" i="22"/>
  <c r="J209" i="22"/>
  <c r="J206" i="22" s="1"/>
  <c r="J205" i="22" s="1"/>
  <c r="R207" i="22"/>
  <c r="Q207" i="22"/>
  <c r="P207" i="22"/>
  <c r="O207" i="22"/>
  <c r="J207" i="22"/>
  <c r="L206" i="22"/>
  <c r="L205" i="22" s="1"/>
  <c r="M205" i="22"/>
  <c r="R202" i="22"/>
  <c r="R201" i="22" s="1"/>
  <c r="R200" i="22" s="1"/>
  <c r="Q202" i="22"/>
  <c r="Q201" i="22" s="1"/>
  <c r="Q200" i="22" s="1"/>
  <c r="P202" i="22"/>
  <c r="P201" i="22" s="1"/>
  <c r="P200" i="22" s="1"/>
  <c r="O202" i="22"/>
  <c r="O201" i="22" s="1"/>
  <c r="O200" i="22" s="1"/>
  <c r="N202" i="22"/>
  <c r="N201" i="22" s="1"/>
  <c r="N200" i="22" s="1"/>
  <c r="J202" i="22"/>
  <c r="J201" i="22" s="1"/>
  <c r="J200" i="22" s="1"/>
  <c r="M201" i="22"/>
  <c r="M200" i="22" s="1"/>
  <c r="L201" i="22"/>
  <c r="L200" i="22" s="1"/>
  <c r="R189" i="22"/>
  <c r="R188" i="22" s="1"/>
  <c r="Q189" i="22"/>
  <c r="Q188" i="22" s="1"/>
  <c r="P189" i="22"/>
  <c r="P188" i="22" s="1"/>
  <c r="O189" i="22"/>
  <c r="N189" i="22"/>
  <c r="N188" i="22" s="1"/>
  <c r="L189" i="22"/>
  <c r="J189" i="22"/>
  <c r="J188" i="22" s="1"/>
  <c r="O188" i="22"/>
  <c r="M188" i="22"/>
  <c r="L188" i="22"/>
  <c r="R185" i="22"/>
  <c r="R184" i="22" s="1"/>
  <c r="Q185" i="22"/>
  <c r="Q184" i="22" s="1"/>
  <c r="P185" i="22"/>
  <c r="P184" i="22" s="1"/>
  <c r="O185" i="22"/>
  <c r="O184" i="22" s="1"/>
  <c r="N185" i="22"/>
  <c r="N184" i="22" s="1"/>
  <c r="M185" i="22"/>
  <c r="M184" i="22" s="1"/>
  <c r="L185" i="22"/>
  <c r="L184" i="22" s="1"/>
  <c r="J185" i="22"/>
  <c r="J184" i="22" s="1"/>
  <c r="R177" i="22"/>
  <c r="R176" i="22" s="1"/>
  <c r="Q177" i="22"/>
  <c r="Q176" i="22" s="1"/>
  <c r="P177" i="22"/>
  <c r="P176" i="22" s="1"/>
  <c r="O177" i="22"/>
  <c r="O176" i="22" s="1"/>
  <c r="N177" i="22"/>
  <c r="N176" i="22" s="1"/>
  <c r="M177" i="22"/>
  <c r="M176" i="22" s="1"/>
  <c r="L177" i="22"/>
  <c r="L176" i="22" s="1"/>
  <c r="J177" i="22"/>
  <c r="J176" i="22" s="1"/>
  <c r="R174" i="22"/>
  <c r="Q174" i="22"/>
  <c r="P174" i="22"/>
  <c r="P173" i="22" s="1"/>
  <c r="O174" i="22"/>
  <c r="O173" i="22" s="1"/>
  <c r="N174" i="22"/>
  <c r="N173" i="22" s="1"/>
  <c r="M174" i="22"/>
  <c r="M173" i="22" s="1"/>
  <c r="L174" i="22"/>
  <c r="L173" i="22" s="1"/>
  <c r="J174" i="22"/>
  <c r="R173" i="22"/>
  <c r="Q173" i="22"/>
  <c r="J173" i="22"/>
  <c r="R169" i="22"/>
  <c r="Q169" i="22"/>
  <c r="P169" i="22"/>
  <c r="P168" i="22" s="1"/>
  <c r="P167" i="22" s="1"/>
  <c r="P166" i="22" s="1"/>
  <c r="O169" i="22"/>
  <c r="O168" i="22" s="1"/>
  <c r="O167" i="22" s="1"/>
  <c r="O166" i="22" s="1"/>
  <c r="N169" i="22"/>
  <c r="N168" i="22" s="1"/>
  <c r="N167" i="22" s="1"/>
  <c r="N166" i="22" s="1"/>
  <c r="M169" i="22"/>
  <c r="M168" i="22" s="1"/>
  <c r="M167" i="22" s="1"/>
  <c r="M166" i="22" s="1"/>
  <c r="L169" i="22"/>
  <c r="L168" i="22" s="1"/>
  <c r="L167" i="22" s="1"/>
  <c r="L166" i="22" s="1"/>
  <c r="J169" i="22"/>
  <c r="R168" i="22"/>
  <c r="R167" i="22" s="1"/>
  <c r="R166" i="22" s="1"/>
  <c r="Q168" i="22"/>
  <c r="Q167" i="22" s="1"/>
  <c r="Q166" i="22" s="1"/>
  <c r="J168" i="22"/>
  <c r="J167" i="22" s="1"/>
  <c r="J166" i="22" s="1"/>
  <c r="R164" i="22"/>
  <c r="R162" i="22" s="1"/>
  <c r="R161" i="22" s="1"/>
  <c r="R160" i="22" s="1"/>
  <c r="R159" i="22" s="1"/>
  <c r="Q164" i="22"/>
  <c r="Q162" i="22" s="1"/>
  <c r="Q161" i="22" s="1"/>
  <c r="Q160" i="22" s="1"/>
  <c r="Q159" i="22" s="1"/>
  <c r="P164" i="22"/>
  <c r="P162" i="22" s="1"/>
  <c r="P161" i="22" s="1"/>
  <c r="P160" i="22" s="1"/>
  <c r="P159" i="22" s="1"/>
  <c r="O164" i="22"/>
  <c r="N164" i="22"/>
  <c r="L164" i="22"/>
  <c r="L162" i="22" s="1"/>
  <c r="L161" i="22" s="1"/>
  <c r="L160" i="22" s="1"/>
  <c r="L159" i="22" s="1"/>
  <c r="J164" i="22"/>
  <c r="J162" i="22" s="1"/>
  <c r="J161" i="22" s="1"/>
  <c r="J160" i="22" s="1"/>
  <c r="J159" i="22" s="1"/>
  <c r="O162" i="22"/>
  <c r="O161" i="22" s="1"/>
  <c r="O160" i="22" s="1"/>
  <c r="O159" i="22" s="1"/>
  <c r="N162" i="22"/>
  <c r="N161" i="22" s="1"/>
  <c r="N160" i="22" s="1"/>
  <c r="N159" i="22" s="1"/>
  <c r="M162" i="22"/>
  <c r="M161" i="22" s="1"/>
  <c r="M160" i="22" s="1"/>
  <c r="M159" i="22" s="1"/>
  <c r="R156" i="22"/>
  <c r="Q156" i="22"/>
  <c r="Q153" i="22" s="1"/>
  <c r="Q152" i="22" s="1"/>
  <c r="Q151" i="22" s="1"/>
  <c r="Q150" i="22" s="1"/>
  <c r="P156" i="22"/>
  <c r="P153" i="22" s="1"/>
  <c r="P152" i="22" s="1"/>
  <c r="P151" i="22" s="1"/>
  <c r="P150" i="22" s="1"/>
  <c r="O156" i="22"/>
  <c r="O153" i="22" s="1"/>
  <c r="O152" i="22" s="1"/>
  <c r="O151" i="22" s="1"/>
  <c r="O150" i="22" s="1"/>
  <c r="N156" i="22"/>
  <c r="N153" i="22" s="1"/>
  <c r="N152" i="22" s="1"/>
  <c r="N151" i="22" s="1"/>
  <c r="N150" i="22" s="1"/>
  <c r="M156" i="22"/>
  <c r="M153" i="22" s="1"/>
  <c r="M152" i="22" s="1"/>
  <c r="M151" i="22" s="1"/>
  <c r="M150" i="22" s="1"/>
  <c r="L156" i="22"/>
  <c r="L153" i="22" s="1"/>
  <c r="L152" i="22" s="1"/>
  <c r="L151" i="22" s="1"/>
  <c r="L150" i="22" s="1"/>
  <c r="J156" i="22"/>
  <c r="J153" i="22" s="1"/>
  <c r="J152" i="22" s="1"/>
  <c r="J151" i="22" s="1"/>
  <c r="J150" i="22" s="1"/>
  <c r="R153" i="22"/>
  <c r="R152" i="22" s="1"/>
  <c r="R151" i="22" s="1"/>
  <c r="R150" i="22" s="1"/>
  <c r="R148" i="22"/>
  <c r="Q148" i="22"/>
  <c r="Q147" i="22" s="1"/>
  <c r="Q146" i="22" s="1"/>
  <c r="Q145" i="22" s="1"/>
  <c r="P148" i="22"/>
  <c r="P147" i="22" s="1"/>
  <c r="P146" i="22" s="1"/>
  <c r="P145" i="22" s="1"/>
  <c r="O148" i="22"/>
  <c r="O147" i="22" s="1"/>
  <c r="O146" i="22" s="1"/>
  <c r="O145" i="22" s="1"/>
  <c r="N148" i="22"/>
  <c r="N147" i="22" s="1"/>
  <c r="N146" i="22" s="1"/>
  <c r="N145" i="22" s="1"/>
  <c r="M148" i="22"/>
  <c r="M147" i="22" s="1"/>
  <c r="M146" i="22" s="1"/>
  <c r="M145" i="22" s="1"/>
  <c r="L148" i="22"/>
  <c r="L147" i="22" s="1"/>
  <c r="L146" i="22" s="1"/>
  <c r="L145" i="22" s="1"/>
  <c r="J148" i="22"/>
  <c r="R147" i="22"/>
  <c r="R146" i="22" s="1"/>
  <c r="R145" i="22" s="1"/>
  <c r="J147" i="22"/>
  <c r="J146" i="22" s="1"/>
  <c r="J145" i="22" s="1"/>
  <c r="R144" i="22"/>
  <c r="R143" i="22" s="1"/>
  <c r="Q144" i="22"/>
  <c r="Q143" i="22" s="1"/>
  <c r="P144" i="22"/>
  <c r="P143" i="22" s="1"/>
  <c r="O144" i="22"/>
  <c r="O143" i="22" s="1"/>
  <c r="N144" i="22"/>
  <c r="N143" i="22" s="1"/>
  <c r="J144" i="22"/>
  <c r="J143" i="22" s="1"/>
  <c r="M143" i="22"/>
  <c r="L143" i="22"/>
  <c r="R142" i="22"/>
  <c r="R141" i="22" s="1"/>
  <c r="Q142" i="22"/>
  <c r="Q141" i="22" s="1"/>
  <c r="P142" i="22"/>
  <c r="P141" i="22" s="1"/>
  <c r="O142" i="22"/>
  <c r="O141" i="22" s="1"/>
  <c r="N142" i="22"/>
  <c r="N141" i="22" s="1"/>
  <c r="J142" i="22"/>
  <c r="J141" i="22" s="1"/>
  <c r="M141" i="22"/>
  <c r="L141" i="22"/>
  <c r="R138" i="22"/>
  <c r="Q138" i="22"/>
  <c r="P138" i="22"/>
  <c r="P137" i="22" s="1"/>
  <c r="O138" i="22"/>
  <c r="O137" i="22" s="1"/>
  <c r="N138" i="22"/>
  <c r="N137" i="22" s="1"/>
  <c r="M138" i="22"/>
  <c r="M137" i="22" s="1"/>
  <c r="L138" i="22"/>
  <c r="L137" i="22" s="1"/>
  <c r="J138" i="22"/>
  <c r="R137" i="22"/>
  <c r="Q137" i="22"/>
  <c r="J137" i="22"/>
  <c r="R132" i="22"/>
  <c r="Q132" i="22"/>
  <c r="P132" i="22"/>
  <c r="P131" i="22" s="1"/>
  <c r="O132" i="22"/>
  <c r="N132" i="22"/>
  <c r="M132" i="22"/>
  <c r="L132" i="22"/>
  <c r="J132" i="22"/>
  <c r="R131" i="22"/>
  <c r="Q131" i="22"/>
  <c r="O131" i="22"/>
  <c r="N131" i="22"/>
  <c r="M131" i="22"/>
  <c r="L131" i="22"/>
  <c r="J131" i="22"/>
  <c r="R125" i="22"/>
  <c r="R124" i="22" s="1"/>
  <c r="R123" i="22" s="1"/>
  <c r="Q125" i="22"/>
  <c r="Q124" i="22" s="1"/>
  <c r="Q123" i="22" s="1"/>
  <c r="P125" i="22"/>
  <c r="P124" i="22" s="1"/>
  <c r="O125" i="22"/>
  <c r="O124" i="22" s="1"/>
  <c r="O123" i="22" s="1"/>
  <c r="N125" i="22"/>
  <c r="N124" i="22" s="1"/>
  <c r="N123" i="22" s="1"/>
  <c r="M125" i="22"/>
  <c r="M124" i="22" s="1"/>
  <c r="M123" i="22" s="1"/>
  <c r="L125" i="22"/>
  <c r="L124" i="22" s="1"/>
  <c r="L123" i="22" s="1"/>
  <c r="J125" i="22"/>
  <c r="J124" i="22" s="1"/>
  <c r="J123" i="22" s="1"/>
  <c r="R121" i="22"/>
  <c r="Q121" i="22"/>
  <c r="P121" i="22"/>
  <c r="O121" i="22"/>
  <c r="N121" i="22"/>
  <c r="M121" i="22"/>
  <c r="L121" i="22"/>
  <c r="J121" i="22"/>
  <c r="R119" i="22"/>
  <c r="Q119" i="22"/>
  <c r="P119" i="22"/>
  <c r="P118" i="22" s="1"/>
  <c r="P112" i="22" s="1"/>
  <c r="O119" i="22"/>
  <c r="O118" i="22" s="1"/>
  <c r="O112" i="22" s="1"/>
  <c r="N119" i="22"/>
  <c r="M119" i="22"/>
  <c r="M118" i="22" s="1"/>
  <c r="M112" i="22" s="1"/>
  <c r="L119" i="22"/>
  <c r="L118" i="22" s="1"/>
  <c r="L112" i="22" s="1"/>
  <c r="J119" i="22"/>
  <c r="J118" i="22" s="1"/>
  <c r="J112" i="22" s="1"/>
  <c r="R118" i="22"/>
  <c r="Q118" i="22"/>
  <c r="Q112" i="22" s="1"/>
  <c r="N118" i="22"/>
  <c r="N112" i="22" s="1"/>
  <c r="R112" i="22"/>
  <c r="R109" i="22"/>
  <c r="Q109" i="22"/>
  <c r="P109" i="22"/>
  <c r="O109" i="22"/>
  <c r="N109" i="22"/>
  <c r="M109" i="22"/>
  <c r="L109" i="22"/>
  <c r="J109" i="22"/>
  <c r="R107" i="22"/>
  <c r="Q107" i="22"/>
  <c r="P107" i="22"/>
  <c r="O107" i="22"/>
  <c r="N107" i="22"/>
  <c r="M107" i="22"/>
  <c r="L107" i="22"/>
  <c r="J107" i="22"/>
  <c r="R105" i="22"/>
  <c r="Q105" i="22"/>
  <c r="P105" i="22"/>
  <c r="O105" i="22"/>
  <c r="O104" i="22" s="1"/>
  <c r="N105" i="22"/>
  <c r="N104" i="22" s="1"/>
  <c r="M105" i="22"/>
  <c r="M104" i="22" s="1"/>
  <c r="L105" i="22"/>
  <c r="L104" i="22" s="1"/>
  <c r="J105" i="22"/>
  <c r="R104" i="22"/>
  <c r="Q104" i="22"/>
  <c r="J104" i="22"/>
  <c r="R102" i="22"/>
  <c r="Q102" i="22"/>
  <c r="Q100" i="22" s="1"/>
  <c r="P102" i="22"/>
  <c r="O102" i="22"/>
  <c r="N102" i="22"/>
  <c r="M102" i="22"/>
  <c r="L102" i="22"/>
  <c r="J102" i="22"/>
  <c r="R100" i="22"/>
  <c r="P100" i="22"/>
  <c r="O100" i="22"/>
  <c r="N100" i="22"/>
  <c r="M100" i="22"/>
  <c r="L100" i="22"/>
  <c r="J100" i="22"/>
  <c r="J99" i="22" s="1"/>
  <c r="R97" i="22"/>
  <c r="R96" i="22" s="1"/>
  <c r="Q97" i="22"/>
  <c r="Q96" i="22" s="1"/>
  <c r="P97" i="22"/>
  <c r="P96" i="22" s="1"/>
  <c r="O97" i="22"/>
  <c r="O96" i="22" s="1"/>
  <c r="N97" i="22"/>
  <c r="N96" i="22" s="1"/>
  <c r="M97" i="22"/>
  <c r="M96" i="22" s="1"/>
  <c r="L97" i="22"/>
  <c r="L96" i="22" s="1"/>
  <c r="J97" i="22"/>
  <c r="J96" i="22" s="1"/>
  <c r="R94" i="22"/>
  <c r="R93" i="22" s="1"/>
  <c r="R92" i="22" s="1"/>
  <c r="Q94" i="22"/>
  <c r="Q93" i="22" s="1"/>
  <c r="Q92" i="22" s="1"/>
  <c r="P94" i="22"/>
  <c r="P93" i="22" s="1"/>
  <c r="P92" i="22" s="1"/>
  <c r="O94" i="22"/>
  <c r="O93" i="22" s="1"/>
  <c r="O92" i="22" s="1"/>
  <c r="N94" i="22"/>
  <c r="N93" i="22" s="1"/>
  <c r="N92" i="22" s="1"/>
  <c r="L94" i="22"/>
  <c r="L93" i="22" s="1"/>
  <c r="L92" i="22" s="1"/>
  <c r="J94" i="22"/>
  <c r="J93" i="22" s="1"/>
  <c r="J92" i="22" s="1"/>
  <c r="M93" i="22"/>
  <c r="M92" i="22" s="1"/>
  <c r="R84" i="22"/>
  <c r="Q84" i="22"/>
  <c r="P84" i="22"/>
  <c r="O84" i="22"/>
  <c r="N84" i="22"/>
  <c r="M84" i="22"/>
  <c r="L84" i="22"/>
  <c r="J84" i="22"/>
  <c r="J83" i="22" s="1"/>
  <c r="R83" i="22"/>
  <c r="Q83" i="22"/>
  <c r="P83" i="22"/>
  <c r="O83" i="22"/>
  <c r="N83" i="22"/>
  <c r="M83" i="22"/>
  <c r="L83" i="22"/>
  <c r="R81" i="22"/>
  <c r="Q81" i="22"/>
  <c r="P81" i="22"/>
  <c r="O81" i="22"/>
  <c r="N81" i="22"/>
  <c r="M81" i="22"/>
  <c r="L81" i="22"/>
  <c r="J81" i="22"/>
  <c r="R79" i="22"/>
  <c r="Q79" i="22"/>
  <c r="P79" i="22"/>
  <c r="P78" i="22" s="1"/>
  <c r="O79" i="22"/>
  <c r="N79" i="22"/>
  <c r="M79" i="22"/>
  <c r="M78" i="22" s="1"/>
  <c r="L79" i="22"/>
  <c r="L78" i="22" s="1"/>
  <c r="J79" i="22"/>
  <c r="J78" i="22" s="1"/>
  <c r="R78" i="22"/>
  <c r="Q78" i="22"/>
  <c r="O78" i="22"/>
  <c r="N78" i="22"/>
  <c r="N77" i="22" s="1"/>
  <c r="N76" i="22" s="1"/>
  <c r="N75" i="22" s="1"/>
  <c r="R72" i="22"/>
  <c r="Q72" i="22"/>
  <c r="P72" i="22"/>
  <c r="O72" i="22"/>
  <c r="O71" i="22" s="1"/>
  <c r="O70" i="22" s="1"/>
  <c r="N72" i="22"/>
  <c r="N71" i="22" s="1"/>
  <c r="N70" i="22" s="1"/>
  <c r="M72" i="22"/>
  <c r="M71" i="22" s="1"/>
  <c r="M70" i="22" s="1"/>
  <c r="L72" i="22"/>
  <c r="L71" i="22" s="1"/>
  <c r="L70" i="22" s="1"/>
  <c r="J72" i="22"/>
  <c r="J71" i="22" s="1"/>
  <c r="J70" i="22" s="1"/>
  <c r="R71" i="22"/>
  <c r="R70" i="22" s="1"/>
  <c r="Q71" i="22"/>
  <c r="Q70" i="22" s="1"/>
  <c r="P71" i="22"/>
  <c r="P70" i="22" s="1"/>
  <c r="R67" i="22"/>
  <c r="Q67" i="22"/>
  <c r="P67" i="22"/>
  <c r="O67" i="22"/>
  <c r="N67" i="22"/>
  <c r="N66" i="22" s="1"/>
  <c r="N65" i="22" s="1"/>
  <c r="M67" i="22"/>
  <c r="M66" i="22" s="1"/>
  <c r="M65" i="22" s="1"/>
  <c r="L67" i="22"/>
  <c r="L66" i="22" s="1"/>
  <c r="L65" i="22" s="1"/>
  <c r="J67" i="22"/>
  <c r="J66" i="22" s="1"/>
  <c r="J65" i="22" s="1"/>
  <c r="R66" i="22"/>
  <c r="R65" i="22" s="1"/>
  <c r="Q66" i="22"/>
  <c r="Q65" i="22" s="1"/>
  <c r="P66" i="22"/>
  <c r="P65" i="22" s="1"/>
  <c r="O66" i="22"/>
  <c r="O65" i="22" s="1"/>
  <c r="R63" i="22"/>
  <c r="R62" i="22" s="1"/>
  <c r="R61" i="22" s="1"/>
  <c r="Q63" i="22"/>
  <c r="Q62" i="22" s="1"/>
  <c r="Q61" i="22" s="1"/>
  <c r="P63" i="22"/>
  <c r="P62" i="22" s="1"/>
  <c r="P61" i="22" s="1"/>
  <c r="O63" i="22"/>
  <c r="O62" i="22" s="1"/>
  <c r="O61" i="22" s="1"/>
  <c r="N63" i="22"/>
  <c r="N62" i="22" s="1"/>
  <c r="N61" i="22" s="1"/>
  <c r="M63" i="22"/>
  <c r="M62" i="22" s="1"/>
  <c r="M61" i="22" s="1"/>
  <c r="L63" i="22"/>
  <c r="L62" i="22" s="1"/>
  <c r="L61" i="22" s="1"/>
  <c r="J63" i="22"/>
  <c r="J62" i="22" s="1"/>
  <c r="J61" i="22" s="1"/>
  <c r="R56" i="22"/>
  <c r="R55" i="22" s="1"/>
  <c r="R54" i="22" s="1"/>
  <c r="Q56" i="22"/>
  <c r="Q55" i="22" s="1"/>
  <c r="Q54" i="22" s="1"/>
  <c r="P56" i="22"/>
  <c r="P55" i="22" s="1"/>
  <c r="P54" i="22" s="1"/>
  <c r="O56" i="22"/>
  <c r="O55" i="22" s="1"/>
  <c r="O54" i="22" s="1"/>
  <c r="N56" i="22"/>
  <c r="N55" i="22" s="1"/>
  <c r="N54" i="22" s="1"/>
  <c r="M56" i="22"/>
  <c r="M55" i="22" s="1"/>
  <c r="M54" i="22" s="1"/>
  <c r="L56" i="22"/>
  <c r="L55" i="22" s="1"/>
  <c r="L54" i="22" s="1"/>
  <c r="J56" i="22"/>
  <c r="J55" i="22" s="1"/>
  <c r="J54" i="22" s="1"/>
  <c r="R52" i="22"/>
  <c r="R51" i="22" s="1"/>
  <c r="Q52" i="22"/>
  <c r="Q51" i="22" s="1"/>
  <c r="P52" i="22"/>
  <c r="P51" i="22" s="1"/>
  <c r="O52" i="22"/>
  <c r="O51" i="22" s="1"/>
  <c r="N52" i="22"/>
  <c r="M52" i="22"/>
  <c r="M51" i="22" s="1"/>
  <c r="L52" i="22"/>
  <c r="L51" i="22" s="1"/>
  <c r="J52" i="22"/>
  <c r="J51" i="22" s="1"/>
  <c r="N51" i="22"/>
  <c r="R48" i="22"/>
  <c r="Q48" i="22"/>
  <c r="P48" i="22"/>
  <c r="O48" i="22"/>
  <c r="N48" i="22"/>
  <c r="M48" i="22"/>
  <c r="L48" i="22"/>
  <c r="J48" i="22"/>
  <c r="R45" i="22"/>
  <c r="Q45" i="22"/>
  <c r="P45" i="22"/>
  <c r="O45" i="22"/>
  <c r="N45" i="22"/>
  <c r="M45" i="22"/>
  <c r="L45" i="22"/>
  <c r="J45" i="22"/>
  <c r="R43" i="22"/>
  <c r="Q43" i="22"/>
  <c r="P43" i="22"/>
  <c r="O43" i="22"/>
  <c r="N43" i="22"/>
  <c r="M43" i="22"/>
  <c r="L43" i="22"/>
  <c r="J43" i="22"/>
  <c r="L42" i="22"/>
  <c r="M42" i="22" s="1"/>
  <c r="M41" i="22" s="1"/>
  <c r="R41" i="22"/>
  <c r="Q41" i="22"/>
  <c r="P41" i="22"/>
  <c r="O41" i="22"/>
  <c r="N41" i="22"/>
  <c r="J41" i="22"/>
  <c r="L40" i="22"/>
  <c r="M40" i="22" s="1"/>
  <c r="L39" i="22"/>
  <c r="R38" i="22"/>
  <c r="Q38" i="22"/>
  <c r="P38" i="22"/>
  <c r="O38" i="22"/>
  <c r="N38" i="22"/>
  <c r="J38" i="22"/>
  <c r="L35" i="22"/>
  <c r="M35" i="22" s="1"/>
  <c r="L34" i="22"/>
  <c r="R33" i="22"/>
  <c r="R32" i="22" s="1"/>
  <c r="R31" i="22" s="1"/>
  <c r="Q33" i="22"/>
  <c r="Q32" i="22" s="1"/>
  <c r="Q31" i="22" s="1"/>
  <c r="P33" i="22"/>
  <c r="P32" i="22" s="1"/>
  <c r="P31" i="22" s="1"/>
  <c r="O33" i="22"/>
  <c r="O32" i="22" s="1"/>
  <c r="O31" i="22" s="1"/>
  <c r="N33" i="22"/>
  <c r="N32" i="22" s="1"/>
  <c r="N31" i="22" s="1"/>
  <c r="J33" i="22"/>
  <c r="J32" i="22" s="1"/>
  <c r="J31" i="22" s="1"/>
  <c r="N518" i="21"/>
  <c r="N517" i="21" s="1"/>
  <c r="J260" i="22" l="1"/>
  <c r="J259" i="22"/>
  <c r="J254" i="22" s="1"/>
  <c r="P123" i="22"/>
  <c r="L99" i="22"/>
  <c r="N332" i="22"/>
  <c r="H466" i="23"/>
  <c r="H465" i="23" s="1"/>
  <c r="H464" i="23" s="1"/>
  <c r="H463" i="23" s="1"/>
  <c r="H462" i="23" s="1"/>
  <c r="L77" i="22"/>
  <c r="L76" i="22" s="1"/>
  <c r="L75" i="22" s="1"/>
  <c r="M181" i="22"/>
  <c r="M179" i="22" s="1"/>
  <c r="R601" i="22"/>
  <c r="L33" i="22"/>
  <c r="L32" i="22" s="1"/>
  <c r="L31" i="22" s="1"/>
  <c r="J172" i="22"/>
  <c r="O601" i="22"/>
  <c r="N304" i="22"/>
  <c r="N305" i="22"/>
  <c r="N338" i="22"/>
  <c r="N339" i="22"/>
  <c r="P500" i="22"/>
  <c r="Q77" i="22"/>
  <c r="Q76" i="22" s="1"/>
  <c r="Q75" i="22" s="1"/>
  <c r="R77" i="22"/>
  <c r="R76" i="22" s="1"/>
  <c r="R75" i="22" s="1"/>
  <c r="L140" i="22"/>
  <c r="L136" i="22" s="1"/>
  <c r="L111" i="22" s="1"/>
  <c r="J140" i="22"/>
  <c r="J136" i="22" s="1"/>
  <c r="J111" i="22" s="1"/>
  <c r="M197" i="22"/>
  <c r="N218" i="22"/>
  <c r="N216" i="22" s="1"/>
  <c r="N220" i="22"/>
  <c r="N237" i="22"/>
  <c r="N232" i="22" s="1"/>
  <c r="N229" i="22" s="1"/>
  <c r="N238" i="22"/>
  <c r="N579" i="22"/>
  <c r="N580" i="22"/>
  <c r="N496" i="22"/>
  <c r="N497" i="22"/>
  <c r="N313" i="22"/>
  <c r="N314" i="22"/>
  <c r="N438" i="22"/>
  <c r="N437" i="22" s="1"/>
  <c r="N436" i="22" s="1"/>
  <c r="N439" i="22"/>
  <c r="N467" i="22"/>
  <c r="N468" i="22"/>
  <c r="N471" i="22"/>
  <c r="N472" i="22"/>
  <c r="N531" i="22"/>
  <c r="N542" i="22"/>
  <c r="N543" i="22"/>
  <c r="N601" i="22"/>
  <c r="N602" i="22"/>
  <c r="P77" i="22"/>
  <c r="P76" i="22" s="1"/>
  <c r="P75" i="22" s="1"/>
  <c r="N255" i="22"/>
  <c r="N243" i="22" s="1"/>
  <c r="N242" i="22" s="1"/>
  <c r="N241" i="22" s="1"/>
  <c r="N256" i="22"/>
  <c r="N273" i="22"/>
  <c r="N272" i="22" s="1"/>
  <c r="N267" i="22" s="1"/>
  <c r="N274" i="22"/>
  <c r="N572" i="22"/>
  <c r="N573" i="22"/>
  <c r="N598" i="22"/>
  <c r="M77" i="22"/>
  <c r="M76" i="22" s="1"/>
  <c r="M75" i="22" s="1"/>
  <c r="N207" i="22"/>
  <c r="N206" i="22" s="1"/>
  <c r="N205" i="22" s="1"/>
  <c r="N197" i="22" s="1"/>
  <c r="N208" i="22"/>
  <c r="N261" i="22"/>
  <c r="N260" i="22" s="1"/>
  <c r="N259" i="22" s="1"/>
  <c r="N254" i="22" s="1"/>
  <c r="N262" i="22"/>
  <c r="N284" i="22"/>
  <c r="N283" i="22" s="1"/>
  <c r="N282" i="22" s="1"/>
  <c r="N320" i="22"/>
  <c r="N549" i="22"/>
  <c r="N550" i="22"/>
  <c r="N660" i="22"/>
  <c r="N661" i="22"/>
  <c r="N568" i="22"/>
  <c r="N569" i="22"/>
  <c r="N500" i="22"/>
  <c r="N503" i="22"/>
  <c r="N292" i="22"/>
  <c r="N293" i="22"/>
  <c r="N296" i="22"/>
  <c r="N297" i="22"/>
  <c r="U466" i="23"/>
  <c r="U465" i="23" s="1"/>
  <c r="U464" i="23" s="1"/>
  <c r="U463" i="23" s="1"/>
  <c r="U462" i="23" s="1"/>
  <c r="R435" i="22"/>
  <c r="R434" i="22" s="1"/>
  <c r="M435" i="22"/>
  <c r="N518" i="22"/>
  <c r="N517" i="22" s="1"/>
  <c r="N516" i="22" s="1"/>
  <c r="N519" i="22"/>
  <c r="L435" i="22"/>
  <c r="N278" i="22"/>
  <c r="N279" i="22"/>
  <c r="P172" i="22"/>
  <c r="O172" i="22"/>
  <c r="P91" i="22"/>
  <c r="P90" i="22" s="1"/>
  <c r="M172" i="22"/>
  <c r="O91" i="22"/>
  <c r="O90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N477" i="23"/>
  <c r="N476" i="23" s="1"/>
  <c r="N475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H168" i="23"/>
  <c r="N130" i="23"/>
  <c r="Q99" i="22"/>
  <c r="M99" i="22"/>
  <c r="L172" i="22"/>
  <c r="O333" i="22"/>
  <c r="O332" i="22" s="1"/>
  <c r="L536" i="22"/>
  <c r="Q601" i="22"/>
  <c r="J644" i="22"/>
  <c r="R664" i="22"/>
  <c r="O664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99" i="22"/>
  <c r="N99" i="22"/>
  <c r="R172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2" i="22"/>
  <c r="N172" i="22"/>
  <c r="P37" i="22"/>
  <c r="P36" i="22" s="1"/>
  <c r="P27" i="22" s="1"/>
  <c r="L244" i="22"/>
  <c r="L242" i="22" s="1"/>
  <c r="L241" i="22" s="1"/>
  <c r="O244" i="22"/>
  <c r="O242" i="22" s="1"/>
  <c r="O241" i="22" s="1"/>
  <c r="M289" i="22"/>
  <c r="L332" i="22"/>
  <c r="Q644" i="22"/>
  <c r="Q525" i="22"/>
  <c r="O181" i="22"/>
  <c r="O179" i="22" s="1"/>
  <c r="J244" i="22"/>
  <c r="J243" i="22" s="1"/>
  <c r="Q244" i="22"/>
  <c r="Q243" i="22" s="1"/>
  <c r="Q242" i="22" s="1"/>
  <c r="Q241" i="22" s="1"/>
  <c r="M267" i="22"/>
  <c r="M266" i="22" s="1"/>
  <c r="M536" i="22"/>
  <c r="O77" i="22"/>
  <c r="O76" i="22" s="1"/>
  <c r="O75" i="22" s="1"/>
  <c r="J77" i="22"/>
  <c r="J76" i="22" s="1"/>
  <c r="J75" i="22" s="1"/>
  <c r="P104" i="22"/>
  <c r="P99" i="22" s="1"/>
  <c r="L181" i="22"/>
  <c r="L179" i="22" s="1"/>
  <c r="P289" i="22"/>
  <c r="O443" i="22"/>
  <c r="O444" i="22" s="1"/>
  <c r="R525" i="22"/>
  <c r="N633" i="22"/>
  <c r="Q91" i="22"/>
  <c r="Q90" i="22" s="1"/>
  <c r="O99" i="22"/>
  <c r="Q37" i="22"/>
  <c r="Q36" i="22" s="1"/>
  <c r="Q27" i="22" s="1"/>
  <c r="J37" i="22"/>
  <c r="J36" i="22" s="1"/>
  <c r="J27" i="22" s="1"/>
  <c r="O37" i="22"/>
  <c r="O36" i="22" s="1"/>
  <c r="O27" i="22" s="1"/>
  <c r="O218" i="22"/>
  <c r="O216" i="22" s="1"/>
  <c r="O289" i="22"/>
  <c r="Q396" i="22"/>
  <c r="P443" i="22"/>
  <c r="P444" i="22" s="1"/>
  <c r="Q664" i="22"/>
  <c r="P664" i="22"/>
  <c r="J158" i="22"/>
  <c r="J197" i="22"/>
  <c r="N140" i="22"/>
  <c r="N136" i="22" s="1"/>
  <c r="N111" i="22" s="1"/>
  <c r="Q218" i="22"/>
  <c r="Q216" i="22" s="1"/>
  <c r="Q289" i="22"/>
  <c r="P333" i="22"/>
  <c r="P332" i="22" s="1"/>
  <c r="Q338" i="22"/>
  <c r="Q333" i="22" s="1"/>
  <c r="Q332" i="22" s="1"/>
  <c r="O500" i="22"/>
  <c r="N219" i="22"/>
  <c r="M228" i="22"/>
  <c r="P244" i="22"/>
  <c r="P243" i="22" s="1"/>
  <c r="R289" i="22"/>
  <c r="J524" i="22"/>
  <c r="J522" i="22" s="1"/>
  <c r="J181" i="22"/>
  <c r="J500" i="22"/>
  <c r="J664" i="22"/>
  <c r="P140" i="22"/>
  <c r="P136" i="22" s="1"/>
  <c r="P111" i="22" s="1"/>
  <c r="L289" i="22"/>
  <c r="O349" i="22"/>
  <c r="O348" i="22" s="1"/>
  <c r="Q435" i="22"/>
  <c r="Q434" i="22" s="1"/>
  <c r="Q500" i="22"/>
  <c r="P601" i="22"/>
  <c r="N37" i="22"/>
  <c r="N36" i="22" s="1"/>
  <c r="N27" i="22" s="1"/>
  <c r="Q140" i="22"/>
  <c r="Q136" i="22" s="1"/>
  <c r="Q111" i="22" s="1"/>
  <c r="M140" i="22"/>
  <c r="M136" i="22" s="1"/>
  <c r="M111" i="22" s="1"/>
  <c r="R244" i="22"/>
  <c r="R243" i="22" s="1"/>
  <c r="R242" i="22" s="1"/>
  <c r="R241" i="22" s="1"/>
  <c r="P349" i="22"/>
  <c r="P348" i="22" s="1"/>
  <c r="O434" i="22"/>
  <c r="J446" i="22"/>
  <c r="R500" i="22"/>
  <c r="J91" i="22"/>
  <c r="J90" i="22" s="1"/>
  <c r="J89" i="22" s="1"/>
  <c r="R140" i="22"/>
  <c r="R136" i="22" s="1"/>
  <c r="R111" i="22" s="1"/>
  <c r="P181" i="22"/>
  <c r="P179" i="22" s="1"/>
  <c r="R219" i="22"/>
  <c r="Q232" i="22"/>
  <c r="Q229" i="22" s="1"/>
  <c r="J289" i="22"/>
  <c r="J333" i="22"/>
  <c r="J332" i="22" s="1"/>
  <c r="Q349" i="22"/>
  <c r="Q348" i="22" s="1"/>
  <c r="J633" i="22"/>
  <c r="J536" i="22" s="1"/>
  <c r="J541" i="22" s="1"/>
  <c r="J540" i="22" s="1"/>
  <c r="Q633" i="22"/>
  <c r="R633" i="22"/>
  <c r="N664" i="22"/>
  <c r="M34" i="22"/>
  <c r="M33" i="22" s="1"/>
  <c r="M32" i="22" s="1"/>
  <c r="M31" i="22" s="1"/>
  <c r="O140" i="22"/>
  <c r="O136" i="22" s="1"/>
  <c r="O111" i="22" s="1"/>
  <c r="R317" i="22"/>
  <c r="R338" i="22"/>
  <c r="R333" i="22" s="1"/>
  <c r="R332" i="22" s="1"/>
  <c r="R349" i="22"/>
  <c r="R348" i="22" s="1"/>
  <c r="Q158" i="22"/>
  <c r="Q267" i="22"/>
  <c r="Q266" i="22" s="1"/>
  <c r="N91" i="22"/>
  <c r="N90" i="22" s="1"/>
  <c r="P158" i="22"/>
  <c r="N158" i="22"/>
  <c r="O158" i="22"/>
  <c r="R197" i="22"/>
  <c r="R158" i="22"/>
  <c r="R267" i="22"/>
  <c r="R266" i="22" s="1"/>
  <c r="P272" i="22"/>
  <c r="P267" i="22" s="1"/>
  <c r="P266" i="22" s="1"/>
  <c r="P260" i="22"/>
  <c r="P277" i="22"/>
  <c r="R91" i="22"/>
  <c r="R90" i="22" s="1"/>
  <c r="P197" i="22"/>
  <c r="M91" i="22"/>
  <c r="M90" i="22" s="1"/>
  <c r="O197" i="22"/>
  <c r="M180" i="22"/>
  <c r="Q197" i="22"/>
  <c r="L91" i="22"/>
  <c r="L90" i="22" s="1"/>
  <c r="L158" i="22"/>
  <c r="Q181" i="22"/>
  <c r="Q180" i="22" s="1"/>
  <c r="M158" i="22"/>
  <c r="N181" i="22"/>
  <c r="N179" i="22" s="1"/>
  <c r="R181" i="22"/>
  <c r="R180" i="22" s="1"/>
  <c r="L197" i="22"/>
  <c r="O259" i="22"/>
  <c r="O254" i="22" s="1"/>
  <c r="N289" i="22"/>
  <c r="N349" i="22"/>
  <c r="N348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U461" i="23" s="1"/>
  <c r="U460" i="23" s="1"/>
  <c r="H482" i="23"/>
  <c r="H481" i="23" s="1"/>
  <c r="H477" i="23" s="1"/>
  <c r="H476" i="23" s="1"/>
  <c r="H475" i="23" s="1"/>
  <c r="H461" i="23" s="1"/>
  <c r="H460" i="23" s="1"/>
  <c r="M39" i="22"/>
  <c r="M38" i="22" s="1"/>
  <c r="M37" i="22" s="1"/>
  <c r="M36" i="22" s="1"/>
  <c r="L38" i="22"/>
  <c r="R37" i="22"/>
  <c r="R36" i="22" s="1"/>
  <c r="R27" i="22" s="1"/>
  <c r="J232" i="22"/>
  <c r="J229" i="22"/>
  <c r="L41" i="22"/>
  <c r="Q260" i="22"/>
  <c r="L267" i="22"/>
  <c r="L266" i="22" s="1"/>
  <c r="J218" i="22"/>
  <c r="J216" i="22" s="1"/>
  <c r="R232" i="22"/>
  <c r="R229" i="22" s="1"/>
  <c r="R259" i="22"/>
  <c r="R254" i="22" s="1"/>
  <c r="O272" i="22"/>
  <c r="O267" i="22" s="1"/>
  <c r="O266" i="22" s="1"/>
  <c r="J268" i="22"/>
  <c r="J267" i="22" s="1"/>
  <c r="J266" i="22" s="1"/>
  <c r="N427" i="22"/>
  <c r="N426" i="22" s="1"/>
  <c r="P442" i="22"/>
  <c r="P434" i="22"/>
  <c r="R396" i="22"/>
  <c r="N527" i="22"/>
  <c r="N526" i="22" s="1"/>
  <c r="J451" i="22"/>
  <c r="O243" i="22" l="1"/>
  <c r="L89" i="22"/>
  <c r="M89" i="22"/>
  <c r="N89" i="22"/>
  <c r="N266" i="22"/>
  <c r="N443" i="22"/>
  <c r="N442" i="22" s="1"/>
  <c r="Q89" i="22"/>
  <c r="O89" i="22"/>
  <c r="O26" i="22" s="1"/>
  <c r="O17" i="22" s="1"/>
  <c r="M196" i="22"/>
  <c r="I132" i="23"/>
  <c r="I131" i="23" s="1"/>
  <c r="I130" i="23" s="1"/>
  <c r="J242" i="22"/>
  <c r="J241" i="22" s="1"/>
  <c r="R89" i="22"/>
  <c r="P89" i="22"/>
  <c r="P26" i="22" s="1"/>
  <c r="P17" i="22" s="1"/>
  <c r="N435" i="22"/>
  <c r="N434" i="22" s="1"/>
  <c r="M434" i="22"/>
  <c r="L434" i="22"/>
  <c r="L180" i="22"/>
  <c r="N180" i="22"/>
  <c r="O180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443" i="22"/>
  <c r="J444" i="22" s="1"/>
  <c r="P180" i="22"/>
  <c r="P242" i="22"/>
  <c r="P241" i="22" s="1"/>
  <c r="L228" i="22"/>
  <c r="M27" i="22"/>
  <c r="M26" i="22" s="1"/>
  <c r="M18" i="22" s="1"/>
  <c r="Q228" i="22"/>
  <c r="Q196" i="22" s="1"/>
  <c r="Q195" i="22" s="1"/>
  <c r="J179" i="22"/>
  <c r="J26" i="22" s="1"/>
  <c r="J17" i="22" s="1"/>
  <c r="J180" i="22"/>
  <c r="L196" i="22"/>
  <c r="Q179" i="22"/>
  <c r="O228" i="22"/>
  <c r="O196" i="22" s="1"/>
  <c r="O195" i="22" s="1"/>
  <c r="R179" i="22"/>
  <c r="N26" i="22"/>
  <c r="N17" i="22" s="1"/>
  <c r="N228" i="22"/>
  <c r="N196" i="22" s="1"/>
  <c r="J19" i="23"/>
  <c r="V172" i="23"/>
  <c r="H165" i="23"/>
  <c r="N21" i="23"/>
  <c r="I19" i="23"/>
  <c r="R228" i="22"/>
  <c r="R196" i="22" s="1"/>
  <c r="R195" i="22" s="1"/>
  <c r="J228" i="22"/>
  <c r="J196" i="22" s="1"/>
  <c r="L37" i="22"/>
  <c r="L36" i="22" s="1"/>
  <c r="L27" i="22" s="1"/>
  <c r="L26" i="22" s="1"/>
  <c r="L18" i="22" s="1"/>
  <c r="R26" i="22" l="1"/>
  <c r="R17" i="22" s="1"/>
  <c r="J435" i="22"/>
  <c r="Q26" i="22"/>
  <c r="Q17" i="22" s="1"/>
  <c r="M195" i="22"/>
  <c r="J20" i="23"/>
  <c r="L195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P228" i="22"/>
  <c r="P196" i="22" s="1"/>
  <c r="P195" i="22" s="1"/>
  <c r="N195" i="22"/>
  <c r="X194" i="22" s="1"/>
  <c r="N20" i="23"/>
  <c r="N18" i="23" s="1"/>
  <c r="N19" i="23"/>
  <c r="J442" i="22"/>
  <c r="J434" i="22"/>
  <c r="J195" i="22" s="1"/>
  <c r="H53" i="23" l="1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R583" i="21"/>
  <c r="Q583" i="21"/>
  <c r="N583" i="21"/>
  <c r="J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Q574" i="21"/>
  <c r="N574" i="21"/>
  <c r="M574" i="21"/>
  <c r="R573" i="21"/>
  <c r="Q573" i="21"/>
  <c r="N573" i="21"/>
  <c r="M573" i="2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O554" i="21" s="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J547" i="21"/>
  <c r="R546" i="21"/>
  <c r="Q546" i="21"/>
  <c r="P546" i="21"/>
  <c r="O546" i="21"/>
  <c r="N546" i="21"/>
  <c r="M546" i="21"/>
  <c r="L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P535" i="21"/>
  <c r="P534" i="21" s="1"/>
  <c r="O535" i="21"/>
  <c r="O534" i="21" s="1"/>
  <c r="N535" i="21"/>
  <c r="N534" i="21" s="1"/>
  <c r="Q534" i="2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M496" i="21"/>
  <c r="L496" i="21"/>
  <c r="J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P459" i="21"/>
  <c r="P458" i="21" s="1"/>
  <c r="P457" i="21" s="1"/>
  <c r="O459" i="21"/>
  <c r="O458" i="21" s="1"/>
  <c r="O457" i="21" s="1"/>
  <c r="Q458" i="21"/>
  <c r="Q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N431" i="21"/>
  <c r="N430" i="21" s="1"/>
  <c r="J431" i="21"/>
  <c r="J430" i="21" s="1"/>
  <c r="P430" i="21"/>
  <c r="O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N424" i="21"/>
  <c r="N423" i="21" s="1"/>
  <c r="J424" i="21"/>
  <c r="J423" i="21" s="1"/>
  <c r="P423" i="21"/>
  <c r="O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O416" i="21"/>
  <c r="O415" i="21" s="1"/>
  <c r="N416" i="21"/>
  <c r="N415" i="21" s="1"/>
  <c r="J416" i="21"/>
  <c r="J415" i="21" s="1"/>
  <c r="P415" i="21"/>
  <c r="R411" i="21"/>
  <c r="R410" i="21" s="1"/>
  <c r="Q411" i="21"/>
  <c r="Q410" i="21" s="1"/>
  <c r="P411" i="21"/>
  <c r="O411" i="21"/>
  <c r="N411" i="21"/>
  <c r="N410" i="21" s="1"/>
  <c r="J411" i="21"/>
  <c r="J410" i="21" s="1"/>
  <c r="P410" i="21"/>
  <c r="O410" i="21"/>
  <c r="R408" i="21"/>
  <c r="R407" i="21" s="1"/>
  <c r="Q408" i="21"/>
  <c r="Q407" i="21" s="1"/>
  <c r="P408" i="21"/>
  <c r="O408" i="21"/>
  <c r="O407" i="21" s="1"/>
  <c r="N408" i="21"/>
  <c r="N407" i="21" s="1"/>
  <c r="J408" i="21"/>
  <c r="J407" i="21" s="1"/>
  <c r="P407" i="2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J388" i="21" s="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O379" i="21"/>
  <c r="O385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N293" i="21"/>
  <c r="N292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L283" i="21"/>
  <c r="L282" i="21" s="1"/>
  <c r="R282" i="21"/>
  <c r="Q282" i="21"/>
  <c r="P282" i="21"/>
  <c r="O282" i="21"/>
  <c r="M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L269" i="21"/>
  <c r="L267" i="21" s="1"/>
  <c r="R268" i="21"/>
  <c r="R267" i="21" s="1"/>
  <c r="Q268" i="21"/>
  <c r="Q267" i="21" s="1"/>
  <c r="Q266" i="21" s="1"/>
  <c r="P268" i="21"/>
  <c r="P267" i="21" s="1"/>
  <c r="P266" i="21" s="1"/>
  <c r="O268" i="21"/>
  <c r="O267" i="21" s="1"/>
  <c r="O266" i="21" s="1"/>
  <c r="J268" i="21"/>
  <c r="J267" i="21" s="1"/>
  <c r="N265" i="21"/>
  <c r="N264" i="21" s="1"/>
  <c r="N262" i="21" s="1"/>
  <c r="N261" i="21" s="1"/>
  <c r="N260" i="21" s="1"/>
  <c r="R264" i="2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R262" i="21"/>
  <c r="R261" i="21" s="1"/>
  <c r="R260" i="21" s="1"/>
  <c r="M262" i="21"/>
  <c r="M260" i="21" s="1"/>
  <c r="L262" i="21"/>
  <c r="L260" i="21" s="1"/>
  <c r="J262" i="21"/>
  <c r="J260" i="21" s="1"/>
  <c r="J261" i="21" s="1"/>
  <c r="N259" i="21"/>
  <c r="R258" i="21"/>
  <c r="R257" i="21" s="1"/>
  <c r="R256" i="21" s="1"/>
  <c r="Q258" i="21"/>
  <c r="Q257" i="21" s="1"/>
  <c r="Q256" i="21" s="1"/>
  <c r="P258" i="21"/>
  <c r="O258" i="21"/>
  <c r="N258" i="21"/>
  <c r="N257" i="21" s="1"/>
  <c r="N256" i="21" s="1"/>
  <c r="J258" i="21"/>
  <c r="J257" i="21" s="1"/>
  <c r="J252" i="21" s="1"/>
  <c r="P257" i="21"/>
  <c r="P256" i="21" s="1"/>
  <c r="O257" i="21"/>
  <c r="O256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Q247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O250" i="21"/>
  <c r="N250" i="21"/>
  <c r="N249" i="21" s="1"/>
  <c r="N248" i="21" s="1"/>
  <c r="J250" i="21"/>
  <c r="J249" i="21" s="1"/>
  <c r="P249" i="21"/>
  <c r="O249" i="21"/>
  <c r="O248" i="21" s="1"/>
  <c r="M249" i="21"/>
  <c r="L249" i="21"/>
  <c r="L247" i="21" s="1"/>
  <c r="P248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L206" i="21"/>
  <c r="M204" i="21"/>
  <c r="L204" i="2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O200" i="21"/>
  <c r="O199" i="21" s="1"/>
  <c r="N200" i="21"/>
  <c r="N199" i="21" s="1"/>
  <c r="L200" i="21"/>
  <c r="L199" i="21" s="1"/>
  <c r="P199" i="21"/>
  <c r="M199" i="21"/>
  <c r="R196" i="21"/>
  <c r="R195" i="21" s="1"/>
  <c r="R194" i="21" s="1"/>
  <c r="R191" i="21" s="1"/>
  <c r="Q196" i="21"/>
  <c r="Q195" i="21" s="1"/>
  <c r="Q194" i="21" s="1"/>
  <c r="Q191" i="21" s="1"/>
  <c r="P196" i="21"/>
  <c r="O196" i="21"/>
  <c r="N196" i="21"/>
  <c r="N195" i="21" s="1"/>
  <c r="N194" i="21" s="1"/>
  <c r="N191" i="21" s="1"/>
  <c r="J196" i="21"/>
  <c r="J195" i="21" s="1"/>
  <c r="J194" i="21" s="1"/>
  <c r="J191" i="21" s="1"/>
  <c r="P195" i="21"/>
  <c r="O195" i="21"/>
  <c r="O194" i="21" s="1"/>
  <c r="M195" i="21"/>
  <c r="M194" i="21" s="1"/>
  <c r="L195" i="21"/>
  <c r="L194" i="21" s="1"/>
  <c r="L191" i="21" s="1"/>
  <c r="P194" i="21"/>
  <c r="P191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Q179" i="21"/>
  <c r="P179" i="21"/>
  <c r="O179" i="21"/>
  <c r="N179" i="21"/>
  <c r="M179" i="21"/>
  <c r="L179" i="21"/>
  <c r="J179" i="21"/>
  <c r="R178" i="21"/>
  <c r="Q178" i="21"/>
  <c r="Q175" i="21" s="1"/>
  <c r="Q174" i="21" s="1"/>
  <c r="P178" i="21"/>
  <c r="O178" i="21"/>
  <c r="N178" i="21"/>
  <c r="M178" i="21"/>
  <c r="L178" i="21"/>
  <c r="J178" i="21"/>
  <c r="J175" i="21" s="1"/>
  <c r="J174" i="21" s="1"/>
  <c r="R171" i="21"/>
  <c r="Q171" i="21"/>
  <c r="P171" i="21"/>
  <c r="O171" i="21"/>
  <c r="N171" i="21"/>
  <c r="M171" i="21"/>
  <c r="L171" i="21"/>
  <c r="J171" i="21"/>
  <c r="R170" i="21"/>
  <c r="Q170" i="21"/>
  <c r="P170" i="21"/>
  <c r="O170" i="21"/>
  <c r="N170" i="21"/>
  <c r="M170" i="21"/>
  <c r="L170" i="21"/>
  <c r="J170" i="21"/>
  <c r="R168" i="21"/>
  <c r="Q168" i="21"/>
  <c r="P168" i="21"/>
  <c r="O168" i="21"/>
  <c r="N168" i="21"/>
  <c r="M168" i="21"/>
  <c r="L168" i="21"/>
  <c r="J168" i="21"/>
  <c r="R167" i="21"/>
  <c r="R166" i="21" s="1"/>
  <c r="Q167" i="21"/>
  <c r="Q166" i="21" s="1"/>
  <c r="P167" i="21"/>
  <c r="P166" i="21" s="1"/>
  <c r="O167" i="21"/>
  <c r="N167" i="21"/>
  <c r="N166" i="21" s="1"/>
  <c r="M167" i="21"/>
  <c r="M166" i="21" s="1"/>
  <c r="L167" i="21"/>
  <c r="L166" i="21" s="1"/>
  <c r="J167" i="21"/>
  <c r="J166" i="21" s="1"/>
  <c r="O166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L162" i="21"/>
  <c r="J162" i="21"/>
  <c r="R161" i="21"/>
  <c r="Q161" i="21"/>
  <c r="P161" i="21"/>
  <c r="O161" i="21"/>
  <c r="N161" i="21"/>
  <c r="M161" i="21"/>
  <c r="L161" i="21"/>
  <c r="J161" i="21"/>
  <c r="R160" i="21"/>
  <c r="Q160" i="21"/>
  <c r="P160" i="21"/>
  <c r="O160" i="21"/>
  <c r="N160" i="21"/>
  <c r="M160" i="21"/>
  <c r="L160" i="21"/>
  <c r="J160" i="21"/>
  <c r="R158" i="21"/>
  <c r="R156" i="21" s="1"/>
  <c r="R155" i="21" s="1"/>
  <c r="R154" i="21" s="1"/>
  <c r="R153" i="21" s="1"/>
  <c r="R152" i="21" s="1"/>
  <c r="Q158" i="21"/>
  <c r="Q156" i="21" s="1"/>
  <c r="Q155" i="21" s="1"/>
  <c r="Q154" i="21" s="1"/>
  <c r="Q153" i="21" s="1"/>
  <c r="Q152" i="21" s="1"/>
  <c r="P158" i="21"/>
  <c r="P156" i="21" s="1"/>
  <c r="P155" i="21" s="1"/>
  <c r="P154" i="21" s="1"/>
  <c r="P153" i="21" s="1"/>
  <c r="P152" i="21" s="1"/>
  <c r="O158" i="21"/>
  <c r="O156" i="21" s="1"/>
  <c r="O155" i="21" s="1"/>
  <c r="O154" i="21" s="1"/>
  <c r="O153" i="21" s="1"/>
  <c r="O152" i="21" s="1"/>
  <c r="N158" i="21"/>
  <c r="N156" i="21" s="1"/>
  <c r="N155" i="21" s="1"/>
  <c r="N154" i="21" s="1"/>
  <c r="N153" i="21" s="1"/>
  <c r="N152" i="21" s="1"/>
  <c r="L158" i="21"/>
  <c r="L156" i="21" s="1"/>
  <c r="L155" i="21" s="1"/>
  <c r="L154" i="21" s="1"/>
  <c r="L153" i="21" s="1"/>
  <c r="L152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R146" i="21"/>
  <c r="Q146" i="21"/>
  <c r="P146" i="21"/>
  <c r="O146" i="21"/>
  <c r="N146" i="21"/>
  <c r="M146" i="21"/>
  <c r="L146" i="21"/>
  <c r="J146" i="21"/>
  <c r="R145" i="21"/>
  <c r="R144" i="21" s="1"/>
  <c r="Q145" i="21"/>
  <c r="Q144" i="21" s="1"/>
  <c r="P145" i="21"/>
  <c r="P144" i="21" s="1"/>
  <c r="O145" i="21"/>
  <c r="O144" i="21" s="1"/>
  <c r="N145" i="21"/>
  <c r="N144" i="21" s="1"/>
  <c r="M145" i="21"/>
  <c r="M144" i="21" s="1"/>
  <c r="L145" i="21"/>
  <c r="J145" i="21"/>
  <c r="J144" i="21" s="1"/>
  <c r="L144" i="21"/>
  <c r="R142" i="21"/>
  <c r="Q142" i="21"/>
  <c r="P142" i="21"/>
  <c r="O142" i="21"/>
  <c r="N142" i="21"/>
  <c r="M142" i="21"/>
  <c r="L142" i="21"/>
  <c r="J142" i="21"/>
  <c r="R141" i="21"/>
  <c r="R140" i="21" s="1"/>
  <c r="R139" i="21" s="1"/>
  <c r="Q141" i="21"/>
  <c r="Q140" i="21" s="1"/>
  <c r="Q139" i="21" s="1"/>
  <c r="P141" i="21"/>
  <c r="O141" i="21"/>
  <c r="O140" i="21" s="1"/>
  <c r="O139" i="21" s="1"/>
  <c r="N141" i="21"/>
  <c r="N140" i="21" s="1"/>
  <c r="N139" i="21" s="1"/>
  <c r="M141" i="21"/>
  <c r="M140" i="21" s="1"/>
  <c r="M139" i="21" s="1"/>
  <c r="L141" i="21"/>
  <c r="J141" i="21"/>
  <c r="J140" i="21" s="1"/>
  <c r="J139" i="21" s="1"/>
  <c r="P140" i="21"/>
  <c r="P139" i="21" s="1"/>
  <c r="L140" i="21"/>
  <c r="L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O136" i="21"/>
  <c r="O135" i="21" s="1"/>
  <c r="N136" i="21"/>
  <c r="N135" i="21" s="1"/>
  <c r="J136" i="21"/>
  <c r="J135" i="21" s="1"/>
  <c r="P135" i="21"/>
  <c r="M135" i="21"/>
  <c r="L135" i="21"/>
  <c r="L134" i="21" s="1"/>
  <c r="R132" i="21"/>
  <c r="Q132" i="21"/>
  <c r="P132" i="21"/>
  <c r="O132" i="21"/>
  <c r="N132" i="21"/>
  <c r="M132" i="21"/>
  <c r="M131" i="21" s="1"/>
  <c r="L132" i="21"/>
  <c r="L131" i="21" s="1"/>
  <c r="J132" i="21"/>
  <c r="R131" i="21"/>
  <c r="Q131" i="21"/>
  <c r="P131" i="21"/>
  <c r="O131" i="21"/>
  <c r="N131" i="21"/>
  <c r="J131" i="21"/>
  <c r="R126" i="21"/>
  <c r="Q126" i="21"/>
  <c r="P126" i="21"/>
  <c r="O126" i="21"/>
  <c r="N126" i="21"/>
  <c r="M126" i="21"/>
  <c r="L126" i="21"/>
  <c r="J126" i="21"/>
  <c r="R125" i="21"/>
  <c r="Q125" i="21"/>
  <c r="P125" i="21"/>
  <c r="O125" i="21"/>
  <c r="N125" i="21"/>
  <c r="M125" i="21"/>
  <c r="L125" i="21"/>
  <c r="J125" i="21"/>
  <c r="R119" i="21"/>
  <c r="Q119" i="21"/>
  <c r="P119" i="21"/>
  <c r="O119" i="21"/>
  <c r="N119" i="21"/>
  <c r="M119" i="21"/>
  <c r="L119" i="21"/>
  <c r="J119" i="21"/>
  <c r="R118" i="21"/>
  <c r="Q118" i="21"/>
  <c r="P118" i="21"/>
  <c r="O118" i="21"/>
  <c r="N118" i="21"/>
  <c r="M118" i="21"/>
  <c r="L118" i="21"/>
  <c r="J118" i="21"/>
  <c r="R117" i="21"/>
  <c r="Q117" i="21"/>
  <c r="P117" i="21"/>
  <c r="O117" i="21"/>
  <c r="N117" i="21"/>
  <c r="M117" i="21"/>
  <c r="L117" i="21"/>
  <c r="J117" i="21"/>
  <c r="R115" i="21"/>
  <c r="Q115" i="21"/>
  <c r="P115" i="21"/>
  <c r="O115" i="21"/>
  <c r="N115" i="21"/>
  <c r="M115" i="21"/>
  <c r="L115" i="21"/>
  <c r="J115" i="21"/>
  <c r="R113" i="21"/>
  <c r="Q113" i="21"/>
  <c r="P113" i="21"/>
  <c r="O113" i="21"/>
  <c r="N113" i="21"/>
  <c r="M113" i="21"/>
  <c r="M112" i="21" s="1"/>
  <c r="M106" i="21" s="1"/>
  <c r="L113" i="21"/>
  <c r="L112" i="21" s="1"/>
  <c r="L106" i="21" s="1"/>
  <c r="J113" i="21"/>
  <c r="J112" i="21" s="1"/>
  <c r="J106" i="21" s="1"/>
  <c r="R112" i="21"/>
  <c r="Q112" i="21"/>
  <c r="Q106" i="21" s="1"/>
  <c r="P112" i="21"/>
  <c r="O112" i="21"/>
  <c r="O106" i="21" s="1"/>
  <c r="N112" i="21"/>
  <c r="R106" i="21"/>
  <c r="P106" i="21"/>
  <c r="N106" i="2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Q99" i="21"/>
  <c r="P99" i="21"/>
  <c r="O99" i="21"/>
  <c r="N99" i="21"/>
  <c r="M99" i="21"/>
  <c r="L99" i="21"/>
  <c r="J99" i="21"/>
  <c r="R98" i="21"/>
  <c r="Q98" i="21"/>
  <c r="P98" i="21"/>
  <c r="O98" i="21"/>
  <c r="N98" i="21"/>
  <c r="M98" i="21"/>
  <c r="L98" i="21"/>
  <c r="J98" i="21"/>
  <c r="R96" i="21"/>
  <c r="Q96" i="21"/>
  <c r="P96" i="21"/>
  <c r="O96" i="21"/>
  <c r="N96" i="21"/>
  <c r="M96" i="21"/>
  <c r="M94" i="21" s="1"/>
  <c r="M93" i="21" s="1"/>
  <c r="L96" i="21"/>
  <c r="J96" i="21"/>
  <c r="J94" i="21" s="1"/>
  <c r="J93" i="21" s="1"/>
  <c r="R94" i="21"/>
  <c r="R93" i="21" s="1"/>
  <c r="Q94" i="21"/>
  <c r="Q93" i="21" s="1"/>
  <c r="P94" i="21"/>
  <c r="O94" i="21"/>
  <c r="O93" i="21" s="1"/>
  <c r="N94" i="21"/>
  <c r="N93" i="21" s="1"/>
  <c r="L94" i="21"/>
  <c r="L93" i="21" s="1"/>
  <c r="P93" i="21"/>
  <c r="R91" i="21"/>
  <c r="Q91" i="21"/>
  <c r="P91" i="21"/>
  <c r="O91" i="21"/>
  <c r="N91" i="21"/>
  <c r="M91" i="21"/>
  <c r="L91" i="21"/>
  <c r="J91" i="21"/>
  <c r="R90" i="21"/>
  <c r="Q90" i="21"/>
  <c r="P90" i="21"/>
  <c r="O90" i="21"/>
  <c r="N90" i="21"/>
  <c r="M90" i="21"/>
  <c r="L90" i="21"/>
  <c r="J90" i="21"/>
  <c r="R88" i="21"/>
  <c r="R87" i="21" s="1"/>
  <c r="R86" i="21" s="1"/>
  <c r="R85" i="21" s="1"/>
  <c r="R84" i="21" s="1"/>
  <c r="Q88" i="21"/>
  <c r="Q87" i="21" s="1"/>
  <c r="Q86" i="21" s="1"/>
  <c r="Q85" i="21" s="1"/>
  <c r="Q84" i="21" s="1"/>
  <c r="P88" i="21"/>
  <c r="P87" i="21" s="1"/>
  <c r="P86" i="21" s="1"/>
  <c r="P85" i="21" s="1"/>
  <c r="P84" i="21" s="1"/>
  <c r="P83" i="21" s="1"/>
  <c r="O88" i="21"/>
  <c r="O87" i="21" s="1"/>
  <c r="O86" i="21" s="1"/>
  <c r="O85" i="21" s="1"/>
  <c r="O84" i="21" s="1"/>
  <c r="O83" i="21" s="1"/>
  <c r="N88" i="21"/>
  <c r="N87" i="21" s="1"/>
  <c r="N86" i="21" s="1"/>
  <c r="N85" i="21" s="1"/>
  <c r="N84" i="21" s="1"/>
  <c r="L88" i="21"/>
  <c r="L87" i="21" s="1"/>
  <c r="L86" i="21" s="1"/>
  <c r="L85" i="21" s="1"/>
  <c r="L84" i="21" s="1"/>
  <c r="J88" i="21"/>
  <c r="M87" i="21"/>
  <c r="M86" i="21" s="1"/>
  <c r="J87" i="21"/>
  <c r="J86" i="21" s="1"/>
  <c r="J85" i="21" s="1"/>
  <c r="J84" i="21" s="1"/>
  <c r="R78" i="21"/>
  <c r="Q78" i="21"/>
  <c r="P78" i="21"/>
  <c r="O78" i="21"/>
  <c r="N78" i="21"/>
  <c r="M78" i="21"/>
  <c r="L78" i="21"/>
  <c r="J78" i="21"/>
  <c r="R77" i="21"/>
  <c r="Q77" i="21"/>
  <c r="P77" i="21"/>
  <c r="O77" i="21"/>
  <c r="N77" i="21"/>
  <c r="M77" i="21"/>
  <c r="L77" i="21"/>
  <c r="J77" i="21"/>
  <c r="R75" i="21"/>
  <c r="Q75" i="21"/>
  <c r="P75" i="21"/>
  <c r="O75" i="21"/>
  <c r="N75" i="21"/>
  <c r="M75" i="21"/>
  <c r="L75" i="21"/>
  <c r="J75" i="21"/>
  <c r="R73" i="21"/>
  <c r="Q73" i="21"/>
  <c r="P73" i="21"/>
  <c r="O73" i="21"/>
  <c r="N73" i="21"/>
  <c r="M73" i="21"/>
  <c r="L73" i="21"/>
  <c r="J73" i="21"/>
  <c r="R72" i="21"/>
  <c r="Q72" i="21"/>
  <c r="Q71" i="21" s="1"/>
  <c r="Q70" i="21" s="1"/>
  <c r="Q69" i="21" s="1"/>
  <c r="P72" i="21"/>
  <c r="P71" i="21" s="1"/>
  <c r="P70" i="21" s="1"/>
  <c r="P69" i="21" s="1"/>
  <c r="O72" i="21"/>
  <c r="O71" i="21" s="1"/>
  <c r="O70" i="21" s="1"/>
  <c r="O69" i="21" s="1"/>
  <c r="N72" i="21"/>
  <c r="N71" i="21" s="1"/>
  <c r="N70" i="21" s="1"/>
  <c r="N69" i="21" s="1"/>
  <c r="M72" i="21"/>
  <c r="M71" i="21" s="1"/>
  <c r="M70" i="21" s="1"/>
  <c r="M69" i="21" s="1"/>
  <c r="L72" i="21"/>
  <c r="L71" i="21" s="1"/>
  <c r="L70" i="21" s="1"/>
  <c r="L69" i="21" s="1"/>
  <c r="J72" i="21"/>
  <c r="J71" i="21" s="1"/>
  <c r="J70" i="21" s="1"/>
  <c r="J69" i="21" s="1"/>
  <c r="R71" i="21"/>
  <c r="R70" i="21" s="1"/>
  <c r="R69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Q57" i="21"/>
  <c r="P57" i="21"/>
  <c r="O57" i="21"/>
  <c r="N57" i="21"/>
  <c r="M57" i="21"/>
  <c r="M56" i="21" s="1"/>
  <c r="M55" i="21" s="1"/>
  <c r="L57" i="21"/>
  <c r="L56" i="21" s="1"/>
  <c r="L55" i="21" s="1"/>
  <c r="J57" i="21"/>
  <c r="J56" i="21" s="1"/>
  <c r="J55" i="21" s="1"/>
  <c r="R56" i="21"/>
  <c r="R55" i="21" s="1"/>
  <c r="Q56" i="21"/>
  <c r="Q55" i="21" s="1"/>
  <c r="P56" i="21"/>
  <c r="P55" i="21" s="1"/>
  <c r="O56" i="21"/>
  <c r="O55" i="21" s="1"/>
  <c r="N56" i="21"/>
  <c r="N55" i="21" s="1"/>
  <c r="R50" i="21"/>
  <c r="Q50" i="21"/>
  <c r="P50" i="21"/>
  <c r="O50" i="21"/>
  <c r="N50" i="21"/>
  <c r="M50" i="21"/>
  <c r="L50" i="21"/>
  <c r="J50" i="21"/>
  <c r="R49" i="21"/>
  <c r="Q49" i="21"/>
  <c r="P49" i="21"/>
  <c r="O49" i="21"/>
  <c r="N49" i="21"/>
  <c r="M49" i="21"/>
  <c r="L49" i="21"/>
  <c r="J49" i="21"/>
  <c r="R48" i="21"/>
  <c r="Q48" i="21"/>
  <c r="P48" i="21"/>
  <c r="O48" i="21"/>
  <c r="N48" i="21"/>
  <c r="M48" i="21"/>
  <c r="L48" i="21"/>
  <c r="J48" i="21"/>
  <c r="R46" i="21"/>
  <c r="Q46" i="21"/>
  <c r="Q45" i="21" s="1"/>
  <c r="P46" i="21"/>
  <c r="O46" i="21"/>
  <c r="O45" i="21" s="1"/>
  <c r="N46" i="21"/>
  <c r="N45" i="21" s="1"/>
  <c r="M46" i="21"/>
  <c r="M45" i="21" s="1"/>
  <c r="L46" i="21"/>
  <c r="J46" i="21"/>
  <c r="J45" i="21" s="1"/>
  <c r="R45" i="21"/>
  <c r="P45" i="21"/>
  <c r="L45" i="2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U421" i="20" s="1"/>
  <c r="U420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J421" i="20" s="1"/>
  <c r="J420" i="20" s="1"/>
  <c r="I426" i="20"/>
  <c r="I425" i="20" s="1"/>
  <c r="I424" i="20" s="1"/>
  <c r="I423" i="20" s="1"/>
  <c r="I422" i="20" s="1"/>
  <c r="U418" i="20"/>
  <c r="U417" i="20" s="1"/>
  <c r="N418" i="20"/>
  <c r="J418" i="20"/>
  <c r="J417" i="20" s="1"/>
  <c r="I418" i="20"/>
  <c r="I417" i="20" s="1"/>
  <c r="H418" i="20"/>
  <c r="H417" i="20" s="1"/>
  <c r="N417" i="20"/>
  <c r="U412" i="20"/>
  <c r="N412" i="20"/>
  <c r="N411" i="20" s="1"/>
  <c r="N410" i="20" s="1"/>
  <c r="N409" i="20" s="1"/>
  <c r="H412" i="20"/>
  <c r="H411" i="20" s="1"/>
  <c r="H410" i="20" s="1"/>
  <c r="H409" i="20" s="1"/>
  <c r="U411" i="20"/>
  <c r="U410" i="20" s="1"/>
  <c r="U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J396" i="20"/>
  <c r="J395" i="20" s="1"/>
  <c r="J394" i="20" s="1"/>
  <c r="I396" i="20"/>
  <c r="I395" i="20" s="1"/>
  <c r="I394" i="20" s="1"/>
  <c r="H396" i="20"/>
  <c r="H395" i="20" s="1"/>
  <c r="H394" i="20" s="1"/>
  <c r="N395" i="20"/>
  <c r="N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J391" i="20"/>
  <c r="J390" i="20" s="1"/>
  <c r="I391" i="20"/>
  <c r="I390" i="20" s="1"/>
  <c r="N390" i="20"/>
  <c r="N389" i="20" s="1"/>
  <c r="N388" i="20" s="1"/>
  <c r="N387" i="20" s="1"/>
  <c r="U385" i="20"/>
  <c r="U384" i="20" s="1"/>
  <c r="U383" i="20" s="1"/>
  <c r="N385" i="20"/>
  <c r="N384" i="20" s="1"/>
  <c r="N383" i="20" s="1"/>
  <c r="J385" i="20"/>
  <c r="I385" i="20"/>
  <c r="I384" i="20" s="1"/>
  <c r="H385" i="20"/>
  <c r="H384" i="20" s="1"/>
  <c r="H383" i="20" s="1"/>
  <c r="J384" i="20"/>
  <c r="U381" i="20"/>
  <c r="N381" i="20"/>
  <c r="J381" i="20"/>
  <c r="I381" i="20"/>
  <c r="H381" i="20"/>
  <c r="U379" i="20"/>
  <c r="N379" i="20"/>
  <c r="J379" i="20"/>
  <c r="I379" i="20"/>
  <c r="H379" i="20"/>
  <c r="U376" i="20"/>
  <c r="N376" i="20"/>
  <c r="N375" i="20" s="1"/>
  <c r="J376" i="20"/>
  <c r="I376" i="20"/>
  <c r="I375" i="20" s="1"/>
  <c r="H376" i="20"/>
  <c r="H375" i="20" s="1"/>
  <c r="U375" i="20"/>
  <c r="J375" i="20"/>
  <c r="U368" i="20"/>
  <c r="U367" i="20" s="1"/>
  <c r="U366" i="20" s="1"/>
  <c r="U365" i="20" s="1"/>
  <c r="U364" i="20" s="1"/>
  <c r="N368" i="20"/>
  <c r="J368" i="20"/>
  <c r="J367" i="20" s="1"/>
  <c r="J366" i="20" s="1"/>
  <c r="J365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N367" i="20"/>
  <c r="N366" i="20" s="1"/>
  <c r="N365" i="20" s="1"/>
  <c r="N364" i="20" s="1"/>
  <c r="J364" i="20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I345" i="20" s="1"/>
  <c r="U349" i="20"/>
  <c r="U348" i="20" s="1"/>
  <c r="U347" i="20" s="1"/>
  <c r="U346" i="20" s="1"/>
  <c r="N346" i="20"/>
  <c r="K343" i="20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N336" i="20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H328" i="20"/>
  <c r="U327" i="20"/>
  <c r="N327" i="20"/>
  <c r="I327" i="20"/>
  <c r="I326" i="20" s="1"/>
  <c r="I325" i="20" s="1"/>
  <c r="I324" i="20" s="1"/>
  <c r="I323" i="20" s="1"/>
  <c r="U326" i="20"/>
  <c r="U325" i="20" s="1"/>
  <c r="U324" i="20" s="1"/>
  <c r="K324" i="20"/>
  <c r="U321" i="20"/>
  <c r="U320" i="20" s="1"/>
  <c r="N321" i="20"/>
  <c r="H321" i="20"/>
  <c r="H320" i="20" s="1"/>
  <c r="N320" i="20"/>
  <c r="J320" i="20"/>
  <c r="J317" i="20" s="1"/>
  <c r="I320" i="20"/>
  <c r="U318" i="20"/>
  <c r="N318" i="20"/>
  <c r="H318" i="20"/>
  <c r="I317" i="20"/>
  <c r="U315" i="20"/>
  <c r="U314" i="20" s="1"/>
  <c r="N315" i="20"/>
  <c r="J315" i="20"/>
  <c r="J314" i="20" s="1"/>
  <c r="I315" i="20"/>
  <c r="I314" i="20" s="1"/>
  <c r="H315" i="20"/>
  <c r="H314" i="20" s="1"/>
  <c r="N314" i="20"/>
  <c r="H308" i="20"/>
  <c r="H305" i="20" s="1"/>
  <c r="H304" i="20" s="1"/>
  <c r="H303" i="20" s="1"/>
  <c r="H307" i="20"/>
  <c r="H306" i="20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J268" i="20" s="1"/>
  <c r="I269" i="20"/>
  <c r="H269" i="20"/>
  <c r="U265" i="20"/>
  <c r="U263" i="20" s="1"/>
  <c r="N265" i="20"/>
  <c r="J265" i="20"/>
  <c r="I265" i="20"/>
  <c r="H265" i="20"/>
  <c r="H263" i="20" s="1"/>
  <c r="J264" i="20"/>
  <c r="J263" i="20" s="1"/>
  <c r="I264" i="20"/>
  <c r="I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I232" i="20"/>
  <c r="H232" i="20"/>
  <c r="H231" i="20"/>
  <c r="I229" i="20"/>
  <c r="I228" i="20" s="1"/>
  <c r="I227" i="20" s="1"/>
  <c r="H229" i="20"/>
  <c r="H228" i="20" s="1"/>
  <c r="K228" i="20"/>
  <c r="J228" i="20"/>
  <c r="J227" i="20" s="1"/>
  <c r="U227" i="20"/>
  <c r="N227" i="20"/>
  <c r="U226" i="20"/>
  <c r="U225" i="20" s="1"/>
  <c r="H226" i="20"/>
  <c r="H225" i="20" s="1"/>
  <c r="U224" i="20"/>
  <c r="U223" i="20" s="1"/>
  <c r="H224" i="20"/>
  <c r="N223" i="20"/>
  <c r="J223" i="20"/>
  <c r="J222" i="20" s="1"/>
  <c r="J221" i="20" s="1"/>
  <c r="I223" i="20"/>
  <c r="I222" i="20" s="1"/>
  <c r="I221" i="20" s="1"/>
  <c r="H223" i="20"/>
  <c r="H222" i="20" s="1"/>
  <c r="H221" i="20" s="1"/>
  <c r="N222" i="20"/>
  <c r="N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I189" i="20" s="1"/>
  <c r="I188" i="20" s="1"/>
  <c r="I187" i="20" s="1"/>
  <c r="K189" i="20"/>
  <c r="U185" i="20"/>
  <c r="U184" i="20" s="1"/>
  <c r="U183" i="20" s="1"/>
  <c r="N185" i="20"/>
  <c r="J185" i="20"/>
  <c r="J184" i="20" s="1"/>
  <c r="J183" i="20" s="1"/>
  <c r="I185" i="20"/>
  <c r="I184" i="20" s="1"/>
  <c r="I183" i="20" s="1"/>
  <c r="H185" i="20"/>
  <c r="N184" i="20"/>
  <c r="N183" i="20" s="1"/>
  <c r="H184" i="20"/>
  <c r="H183" i="20" s="1"/>
  <c r="K183" i="20"/>
  <c r="U180" i="20"/>
  <c r="N180" i="20"/>
  <c r="N179" i="20" s="1"/>
  <c r="N178" i="20" s="1"/>
  <c r="N177" i="20" s="1"/>
  <c r="J180" i="20"/>
  <c r="J179" i="20" s="1"/>
  <c r="J178" i="20" s="1"/>
  <c r="J177" i="20" s="1"/>
  <c r="I180" i="20"/>
  <c r="H180" i="20"/>
  <c r="U179" i="20"/>
  <c r="U178" i="20" s="1"/>
  <c r="U177" i="20" s="1"/>
  <c r="I179" i="20"/>
  <c r="I178" i="20" s="1"/>
  <c r="I177" i="20" s="1"/>
  <c r="H179" i="20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U170" i="20" s="1"/>
  <c r="N171" i="20"/>
  <c r="J171" i="20"/>
  <c r="I171" i="20"/>
  <c r="H171" i="20"/>
  <c r="H170" i="20" s="1"/>
  <c r="U168" i="20"/>
  <c r="U167" i="20" s="1"/>
  <c r="N168" i="20"/>
  <c r="J168" i="20"/>
  <c r="J167" i="20" s="1"/>
  <c r="I168" i="20"/>
  <c r="I167" i="20" s="1"/>
  <c r="H168" i="20"/>
  <c r="H167" i="20" s="1"/>
  <c r="N167" i="20"/>
  <c r="H164" i="20"/>
  <c r="H163" i="20" s="1"/>
  <c r="U163" i="20"/>
  <c r="N163" i="20"/>
  <c r="J163" i="20"/>
  <c r="I163" i="20"/>
  <c r="H162" i="20"/>
  <c r="H161" i="20" s="1"/>
  <c r="U161" i="20"/>
  <c r="N161" i="20"/>
  <c r="J161" i="20"/>
  <c r="J160" i="20" s="1"/>
  <c r="J159" i="20" s="1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J152" i="20" s="1"/>
  <c r="J151" i="20" s="1"/>
  <c r="J150" i="20" s="1"/>
  <c r="J149" i="20" s="1"/>
  <c r="I153" i="20"/>
  <c r="I152" i="20" s="1"/>
  <c r="I151" i="20" s="1"/>
  <c r="K151" i="20"/>
  <c r="U149" i="20"/>
  <c r="N149" i="20"/>
  <c r="H147" i="20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H145" i="20"/>
  <c r="H144" i="20" s="1"/>
  <c r="H143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N129" i="20"/>
  <c r="J129" i="20"/>
  <c r="J128" i="20" s="1"/>
  <c r="I129" i="20"/>
  <c r="I128" i="20" s="1"/>
  <c r="U128" i="20"/>
  <c r="N128" i="20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J121" i="20" s="1"/>
  <c r="I122" i="20"/>
  <c r="U119" i="20"/>
  <c r="U118" i="20" s="1"/>
  <c r="N119" i="20"/>
  <c r="K119" i="20"/>
  <c r="N118" i="20"/>
  <c r="U114" i="20"/>
  <c r="U113" i="20" s="1"/>
  <c r="U112" i="20" s="1"/>
  <c r="U111" i="20" s="1"/>
  <c r="U110" i="20" s="1"/>
  <c r="U109" i="20" s="1"/>
  <c r="N114" i="20"/>
  <c r="J114" i="20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N113" i="20"/>
  <c r="N112" i="20" s="1"/>
  <c r="N111" i="20" s="1"/>
  <c r="N110" i="20" s="1"/>
  <c r="N109" i="20" s="1"/>
  <c r="J113" i="20"/>
  <c r="J112" i="20" s="1"/>
  <c r="J111" i="20" s="1"/>
  <c r="J110" i="20" s="1"/>
  <c r="J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N95" i="20"/>
  <c r="J95" i="20"/>
  <c r="J94" i="20" s="1"/>
  <c r="J93" i="20" s="1"/>
  <c r="J92" i="20" s="1"/>
  <c r="I95" i="20"/>
  <c r="U94" i="20"/>
  <c r="U93" i="20" s="1"/>
  <c r="U92" i="20" s="1"/>
  <c r="N94" i="20"/>
  <c r="N93" i="20" s="1"/>
  <c r="N92" i="20" s="1"/>
  <c r="I94" i="20"/>
  <c r="I93" i="20" s="1"/>
  <c r="I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I89" i="20"/>
  <c r="I88" i="20" s="1"/>
  <c r="I87" i="20" s="1"/>
  <c r="I86" i="20" s="1"/>
  <c r="I85" i="20" s="1"/>
  <c r="J88" i="20"/>
  <c r="J87" i="20" s="1"/>
  <c r="J86" i="20" s="1"/>
  <c r="J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N71" i="20"/>
  <c r="N70" i="20" s="1"/>
  <c r="N69" i="20" s="1"/>
  <c r="J71" i="20"/>
  <c r="I71" i="20"/>
  <c r="H71" i="20"/>
  <c r="U70" i="20"/>
  <c r="U69" i="20" s="1"/>
  <c r="J70" i="20"/>
  <c r="J69" i="20" s="1"/>
  <c r="I70" i="20"/>
  <c r="I69" i="20" s="1"/>
  <c r="H70" i="20"/>
  <c r="H69" i="20" s="1"/>
  <c r="U67" i="20"/>
  <c r="U58" i="20" s="1"/>
  <c r="U57" i="20" s="1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N58" i="20"/>
  <c r="N57" i="20" s="1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H51" i="20"/>
  <c r="H50" i="20" s="1"/>
  <c r="H49" i="20" s="1"/>
  <c r="H48" i="20" s="1"/>
  <c r="I50" i="20"/>
  <c r="I49" i="20" s="1"/>
  <c r="I48" i="20" s="1"/>
  <c r="I47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N382" i="18"/>
  <c r="N381" i="18" s="1"/>
  <c r="N380" i="18" s="1"/>
  <c r="N379" i="18" s="1"/>
  <c r="N378" i="18" s="1"/>
  <c r="J382" i="18"/>
  <c r="I382" i="18"/>
  <c r="I381" i="18" s="1"/>
  <c r="I380" i="18" s="1"/>
  <c r="I379" i="18" s="1"/>
  <c r="I378" i="18" s="1"/>
  <c r="H382" i="18"/>
  <c r="U381" i="18"/>
  <c r="U380" i="18" s="1"/>
  <c r="U379" i="18" s="1"/>
  <c r="U378" i="18" s="1"/>
  <c r="J381" i="18"/>
  <c r="J380" i="18" s="1"/>
  <c r="J379" i="18" s="1"/>
  <c r="J378" i="18" s="1"/>
  <c r="H381" i="18"/>
  <c r="H380" i="18" s="1"/>
  <c r="H379" i="18" s="1"/>
  <c r="H378" i="18" s="1"/>
  <c r="U376" i="18"/>
  <c r="U375" i="18" s="1"/>
  <c r="U374" i="18" s="1"/>
  <c r="U373" i="18" s="1"/>
  <c r="N376" i="18"/>
  <c r="H376" i="18"/>
  <c r="H375" i="18" s="1"/>
  <c r="H374" i="18" s="1"/>
  <c r="H373" i="18" s="1"/>
  <c r="N375" i="18"/>
  <c r="N374" i="18" s="1"/>
  <c r="N373" i="18" s="1"/>
  <c r="U371" i="18"/>
  <c r="N371" i="18"/>
  <c r="H371" i="18"/>
  <c r="U370" i="18"/>
  <c r="N370" i="18"/>
  <c r="H370" i="18"/>
  <c r="H369" i="18" s="1"/>
  <c r="H368" i="18" s="1"/>
  <c r="H367" i="18" s="1"/>
  <c r="H366" i="18" s="1"/>
  <c r="H365" i="18" s="1"/>
  <c r="H364" i="18" s="1"/>
  <c r="H363" i="18" s="1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I360" i="18"/>
  <c r="I359" i="18" s="1"/>
  <c r="I358" i="18" s="1"/>
  <c r="H360" i="18"/>
  <c r="H359" i="18" s="1"/>
  <c r="H358" i="18" s="1"/>
  <c r="J359" i="18"/>
  <c r="J358" i="18" s="1"/>
  <c r="U355" i="18"/>
  <c r="U354" i="18" s="1"/>
  <c r="U353" i="18" s="1"/>
  <c r="U352" i="18" s="1"/>
  <c r="U351" i="18" s="1"/>
  <c r="N355" i="18"/>
  <c r="J355" i="18"/>
  <c r="J354" i="18" s="1"/>
  <c r="I355" i="18"/>
  <c r="I354" i="18" s="1"/>
  <c r="H355" i="18"/>
  <c r="H354" i="18" s="1"/>
  <c r="H353" i="18" s="1"/>
  <c r="H352" i="18" s="1"/>
  <c r="H351" i="18" s="1"/>
  <c r="N354" i="18"/>
  <c r="N353" i="18" s="1"/>
  <c r="N352" i="18" s="1"/>
  <c r="N351" i="18" s="1"/>
  <c r="U349" i="18"/>
  <c r="U348" i="18" s="1"/>
  <c r="U347" i="18" s="1"/>
  <c r="N349" i="18"/>
  <c r="N348" i="18" s="1"/>
  <c r="N347" i="18" s="1"/>
  <c r="J349" i="18"/>
  <c r="I349" i="18"/>
  <c r="I348" i="18" s="1"/>
  <c r="H349" i="18"/>
  <c r="H348" i="18" s="1"/>
  <c r="H347" i="18" s="1"/>
  <c r="J348" i="18"/>
  <c r="U345" i="18"/>
  <c r="N345" i="18"/>
  <c r="J345" i="18"/>
  <c r="I345" i="18"/>
  <c r="H345" i="18"/>
  <c r="U343" i="18"/>
  <c r="N343" i="18"/>
  <c r="J343" i="18"/>
  <c r="I343" i="18"/>
  <c r="H343" i="18"/>
  <c r="U340" i="18"/>
  <c r="N340" i="18"/>
  <c r="N339" i="18" s="1"/>
  <c r="J340" i="18"/>
  <c r="I340" i="18"/>
  <c r="I339" i="18" s="1"/>
  <c r="H340" i="18"/>
  <c r="H339" i="18" s="1"/>
  <c r="U339" i="18"/>
  <c r="J339" i="18"/>
  <c r="U332" i="18"/>
  <c r="U331" i="18" s="1"/>
  <c r="U330" i="18" s="1"/>
  <c r="U329" i="18" s="1"/>
  <c r="U328" i="18" s="1"/>
  <c r="N332" i="18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N331" i="18"/>
  <c r="N330" i="18" s="1"/>
  <c r="N329" i="18" s="1"/>
  <c r="N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N320" i="18"/>
  <c r="N319" i="18" s="1"/>
  <c r="N318" i="18" s="1"/>
  <c r="J320" i="18"/>
  <c r="I320" i="18"/>
  <c r="I319" i="18" s="1"/>
  <c r="I318" i="18" s="1"/>
  <c r="I317" i="18" s="1"/>
  <c r="I316" i="18" s="1"/>
  <c r="H320" i="18"/>
  <c r="U319" i="18"/>
  <c r="U318" i="18" s="1"/>
  <c r="J319" i="18"/>
  <c r="J318" i="18" s="1"/>
  <c r="J317" i="18" s="1"/>
  <c r="J316" i="18" s="1"/>
  <c r="H319" i="18"/>
  <c r="H318" i="18" s="1"/>
  <c r="H317" i="18" s="1"/>
  <c r="H316" i="18" s="1"/>
  <c r="U314" i="18"/>
  <c r="U313" i="18" s="1"/>
  <c r="U312" i="18" s="1"/>
  <c r="U311" i="18" s="1"/>
  <c r="U310" i="18" s="1"/>
  <c r="N314" i="18"/>
  <c r="J314" i="18"/>
  <c r="J313" i="18" s="1"/>
  <c r="J312" i="18" s="1"/>
  <c r="J311" i="18" s="1"/>
  <c r="J310" i="18" s="1"/>
  <c r="J309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N313" i="18"/>
  <c r="N312" i="18" s="1"/>
  <c r="N311" i="18" s="1"/>
  <c r="N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J305" i="18"/>
  <c r="J304" i="18" s="1"/>
  <c r="I305" i="18"/>
  <c r="I304" i="18" s="1"/>
  <c r="H305" i="18"/>
  <c r="H304" i="18" s="1"/>
  <c r="H303" i="18" s="1"/>
  <c r="H302" i="18" s="1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N296" i="18"/>
  <c r="N295" i="18" s="1"/>
  <c r="J296" i="18"/>
  <c r="I296" i="18"/>
  <c r="H296" i="18"/>
  <c r="U295" i="18"/>
  <c r="H295" i="18"/>
  <c r="J292" i="18"/>
  <c r="I292" i="18"/>
  <c r="I291" i="18" s="1"/>
  <c r="I290" i="18" s="1"/>
  <c r="I289" i="18" s="1"/>
  <c r="I288" i="18" s="1"/>
  <c r="I287" i="18" s="1"/>
  <c r="H292" i="18"/>
  <c r="H290" i="18" s="1"/>
  <c r="H289" i="18" s="1"/>
  <c r="H288" i="18" s="1"/>
  <c r="H287" i="18" s="1"/>
  <c r="H286" i="18" s="1"/>
  <c r="U291" i="18"/>
  <c r="N291" i="18"/>
  <c r="J291" i="18"/>
  <c r="J290" i="18" s="1"/>
  <c r="J289" i="18" s="1"/>
  <c r="J288" i="18" s="1"/>
  <c r="H291" i="18"/>
  <c r="N290" i="18"/>
  <c r="N289" i="18" s="1"/>
  <c r="N288" i="18" s="1"/>
  <c r="N287" i="18" s="1"/>
  <c r="N286" i="18" s="1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N281" i="18"/>
  <c r="N280" i="18" s="1"/>
  <c r="N279" i="18" s="1"/>
  <c r="N278" i="18" s="1"/>
  <c r="J281" i="18"/>
  <c r="I281" i="18"/>
  <c r="I280" i="18" s="1"/>
  <c r="H281" i="18"/>
  <c r="H280" i="18" s="1"/>
  <c r="U280" i="18"/>
  <c r="J280" i="18"/>
  <c r="N277" i="18"/>
  <c r="N276" i="18" s="1"/>
  <c r="U272" i="18"/>
  <c r="U271" i="18" s="1"/>
  <c r="U265" i="18" s="1"/>
  <c r="N272" i="18"/>
  <c r="N271" i="18" s="1"/>
  <c r="N265" i="18" s="1"/>
  <c r="H272" i="18"/>
  <c r="H271" i="18"/>
  <c r="H265" i="18" s="1"/>
  <c r="U267" i="18"/>
  <c r="N267" i="18"/>
  <c r="N266" i="18" s="1"/>
  <c r="H267" i="18"/>
  <c r="H266" i="18" s="1"/>
  <c r="U266" i="18"/>
  <c r="U264" i="18"/>
  <c r="U263" i="18" s="1"/>
  <c r="N264" i="18"/>
  <c r="N263" i="18" s="1"/>
  <c r="N258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H258" i="18" s="1"/>
  <c r="U256" i="18"/>
  <c r="N256" i="18"/>
  <c r="J256" i="18"/>
  <c r="I256" i="18"/>
  <c r="H256" i="18"/>
  <c r="U254" i="18"/>
  <c r="U253" i="18" s="1"/>
  <c r="N254" i="18"/>
  <c r="J254" i="18"/>
  <c r="J253" i="18" s="1"/>
  <c r="J252" i="18" s="1"/>
  <c r="I254" i="18"/>
  <c r="H254" i="18"/>
  <c r="H253" i="18" s="1"/>
  <c r="U250" i="18"/>
  <c r="U249" i="18" s="1"/>
  <c r="N250" i="18"/>
  <c r="J250" i="18"/>
  <c r="J249" i="18" s="1"/>
  <c r="J248" i="18" s="1"/>
  <c r="I250" i="18"/>
  <c r="I249" i="18" s="1"/>
  <c r="I248" i="18" s="1"/>
  <c r="H250" i="18"/>
  <c r="H249" i="18" s="1"/>
  <c r="N249" i="18"/>
  <c r="N248" i="18"/>
  <c r="K246" i="18"/>
  <c r="N245" i="18"/>
  <c r="J245" i="18"/>
  <c r="I245" i="18"/>
  <c r="U243" i="18"/>
  <c r="N243" i="18"/>
  <c r="J243" i="18"/>
  <c r="J242" i="18" s="1"/>
  <c r="J241" i="18" s="1"/>
  <c r="I243" i="18"/>
  <c r="H243" i="18"/>
  <c r="K241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J228" i="18"/>
  <c r="I228" i="18"/>
  <c r="I227" i="18" s="1"/>
  <c r="I226" i="18" s="1"/>
  <c r="I225" i="18" s="1"/>
  <c r="J227" i="18"/>
  <c r="J226" i="18" s="1"/>
  <c r="J225" i="18" s="1"/>
  <c r="H225" i="18"/>
  <c r="H223" i="18"/>
  <c r="U221" i="18"/>
  <c r="U219" i="18" s="1"/>
  <c r="U218" i="18" s="1"/>
  <c r="N221" i="18"/>
  <c r="J221" i="18"/>
  <c r="J219" i="18" s="1"/>
  <c r="J218" i="18" s="1"/>
  <c r="I221" i="18"/>
  <c r="H221" i="18"/>
  <c r="H219" i="18" s="1"/>
  <c r="H218" i="18" s="1"/>
  <c r="N219" i="18"/>
  <c r="N218" i="18" s="1"/>
  <c r="I219" i="18"/>
  <c r="I218" i="18" s="1"/>
  <c r="I217" i="18" s="1"/>
  <c r="K218" i="18"/>
  <c r="U217" i="18"/>
  <c r="N217" i="18"/>
  <c r="J217" i="18"/>
  <c r="H217" i="18"/>
  <c r="U215" i="18"/>
  <c r="N215" i="18"/>
  <c r="N214" i="18" s="1"/>
  <c r="N213" i="18" s="1"/>
  <c r="N212" i="18" s="1"/>
  <c r="J215" i="18"/>
  <c r="I215" i="18"/>
  <c r="H215" i="18"/>
  <c r="U214" i="18"/>
  <c r="U213" i="18" s="1"/>
  <c r="U212" i="18" s="1"/>
  <c r="J214" i="18"/>
  <c r="I214" i="18"/>
  <c r="I213" i="18" s="1"/>
  <c r="H214" i="18"/>
  <c r="H213" i="18" s="1"/>
  <c r="K213" i="18"/>
  <c r="J213" i="18"/>
  <c r="J212" i="18" s="1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J204" i="18"/>
  <c r="J203" i="18" s="1"/>
  <c r="J202" i="18" s="1"/>
  <c r="J192" i="18" s="1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J183" i="18" s="1"/>
  <c r="J182" i="18" s="1"/>
  <c r="J181" i="18" s="1"/>
  <c r="I184" i="18"/>
  <c r="H184" i="18"/>
  <c r="K183" i="18"/>
  <c r="I183" i="18"/>
  <c r="I182" i="18" s="1"/>
  <c r="I181" i="18" s="1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I174" i="18"/>
  <c r="I173" i="18" s="1"/>
  <c r="I172" i="18" s="1"/>
  <c r="I171" i="18" s="1"/>
  <c r="H174" i="18"/>
  <c r="H173" i="18" s="1"/>
  <c r="H172" i="18" s="1"/>
  <c r="H171" i="18" s="1"/>
  <c r="J173" i="18"/>
  <c r="J172" i="18" s="1"/>
  <c r="J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I162" i="18"/>
  <c r="I161" i="18" s="1"/>
  <c r="H162" i="18"/>
  <c r="H161" i="18" s="1"/>
  <c r="J161" i="18"/>
  <c r="U157" i="18"/>
  <c r="N157" i="18"/>
  <c r="J157" i="18"/>
  <c r="I157" i="18"/>
  <c r="H157" i="18"/>
  <c r="U155" i="18"/>
  <c r="N155" i="18"/>
  <c r="J155" i="18"/>
  <c r="I155" i="18"/>
  <c r="I154" i="18" s="1"/>
  <c r="I153" i="18" s="1"/>
  <c r="H155" i="18"/>
  <c r="H154" i="18" s="1"/>
  <c r="H153" i="18" s="1"/>
  <c r="J154" i="18"/>
  <c r="J153" i="18" s="1"/>
  <c r="U151" i="18"/>
  <c r="N151" i="18"/>
  <c r="J151" i="18"/>
  <c r="I151" i="18"/>
  <c r="H151" i="18"/>
  <c r="J149" i="18"/>
  <c r="I149" i="18"/>
  <c r="H149" i="18"/>
  <c r="H148" i="18"/>
  <c r="H147" i="18" s="1"/>
  <c r="J147" i="18"/>
  <c r="J146" i="18" s="1"/>
  <c r="J145" i="18" s="1"/>
  <c r="I147" i="18"/>
  <c r="I146" i="18" s="1"/>
  <c r="I145" i="18" s="1"/>
  <c r="K145" i="18"/>
  <c r="U143" i="18"/>
  <c r="N143" i="18"/>
  <c r="H143" i="18"/>
  <c r="V148" i="18" s="1"/>
  <c r="U139" i="18"/>
  <c r="U138" i="18" s="1"/>
  <c r="U137" i="18" s="1"/>
  <c r="N139" i="18"/>
  <c r="N138" i="18" s="1"/>
  <c r="K139" i="18"/>
  <c r="J139" i="18"/>
  <c r="I139" i="18"/>
  <c r="H139" i="18"/>
  <c r="H138" i="18" s="1"/>
  <c r="H137" i="18" s="1"/>
  <c r="J138" i="18"/>
  <c r="I138" i="18"/>
  <c r="N137" i="18"/>
  <c r="N136" i="18" s="1"/>
  <c r="J135" i="18"/>
  <c r="I135" i="18"/>
  <c r="U133" i="18"/>
  <c r="U132" i="18" s="1"/>
  <c r="U131" i="18" s="1"/>
  <c r="N133" i="18"/>
  <c r="J133" i="18"/>
  <c r="J132" i="18" s="1"/>
  <c r="J131" i="18" s="1"/>
  <c r="I133" i="18"/>
  <c r="H133" i="18"/>
  <c r="H132" i="18" s="1"/>
  <c r="H131" i="18" s="1"/>
  <c r="N132" i="18"/>
  <c r="N131" i="18" s="1"/>
  <c r="I132" i="18"/>
  <c r="I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I120" i="18" s="1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J111" i="18"/>
  <c r="J110" i="18" s="1"/>
  <c r="J109" i="18" s="1"/>
  <c r="J108" i="18" s="1"/>
  <c r="U105" i="18"/>
  <c r="U100" i="18" s="1"/>
  <c r="U99" i="18" s="1"/>
  <c r="U98" i="18" s="1"/>
  <c r="N105" i="18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N100" i="18"/>
  <c r="N99" i="18" s="1"/>
  <c r="N98" i="18" s="1"/>
  <c r="K97" i="18"/>
  <c r="H97" i="18"/>
  <c r="K96" i="18"/>
  <c r="H96" i="18" s="1"/>
  <c r="H95" i="18" s="1"/>
  <c r="H94" i="18" s="1"/>
  <c r="H93" i="18" s="1"/>
  <c r="H92" i="18" s="1"/>
  <c r="H91" i="18" s="1"/>
  <c r="U95" i="18"/>
  <c r="N95" i="18"/>
  <c r="J95" i="18"/>
  <c r="J94" i="18" s="1"/>
  <c r="I95" i="18"/>
  <c r="I94" i="18" s="1"/>
  <c r="I93" i="18" s="1"/>
  <c r="I92" i="18" s="1"/>
  <c r="I91" i="18" s="1"/>
  <c r="U94" i="18"/>
  <c r="U93" i="18" s="1"/>
  <c r="U92" i="18" s="1"/>
  <c r="N94" i="18"/>
  <c r="N93" i="18" s="1"/>
  <c r="N92" i="18" s="1"/>
  <c r="J93" i="18"/>
  <c r="J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J88" i="18"/>
  <c r="J87" i="18" s="1"/>
  <c r="J86" i="18" s="1"/>
  <c r="J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U58" i="18"/>
  <c r="U57" i="18" s="1"/>
  <c r="L55" i="18"/>
  <c r="U51" i="18"/>
  <c r="U50" i="18" s="1"/>
  <c r="U49" i="18" s="1"/>
  <c r="U48" i="18" s="1"/>
  <c r="N51" i="18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N50" i="18"/>
  <c r="H50" i="18"/>
  <c r="H49" i="18" s="1"/>
  <c r="H48" i="18" s="1"/>
  <c r="N49" i="18"/>
  <c r="N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N38" i="18"/>
  <c r="N37" i="18" s="1"/>
  <c r="N36" i="18" s="1"/>
  <c r="N35" i="18" s="1"/>
  <c r="N34" i="18" s="1"/>
  <c r="J38" i="18"/>
  <c r="J37" i="18" s="1"/>
  <c r="J36" i="18" s="1"/>
  <c r="J35" i="18" s="1"/>
  <c r="J34" i="18" s="1"/>
  <c r="I38" i="18"/>
  <c r="I37" i="18" s="1"/>
  <c r="I36" i="18" s="1"/>
  <c r="I35" i="18" s="1"/>
  <c r="I34" i="18" s="1"/>
  <c r="H38" i="18"/>
  <c r="U37" i="18"/>
  <c r="U36" i="18" s="1"/>
  <c r="U35" i="18" s="1"/>
  <c r="U34" i="18" s="1"/>
  <c r="H37" i="18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U136" i="18" l="1"/>
  <c r="U135" i="18"/>
  <c r="H342" i="18"/>
  <c r="U342" i="18"/>
  <c r="H378" i="20"/>
  <c r="U378" i="20"/>
  <c r="I119" i="18"/>
  <c r="I118" i="18" s="1"/>
  <c r="I117" i="18" s="1"/>
  <c r="I116" i="18" s="1"/>
  <c r="H160" i="20"/>
  <c r="H159" i="20" s="1"/>
  <c r="L83" i="2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I383" i="20"/>
  <c r="U416" i="20"/>
  <c r="U415" i="20" s="1"/>
  <c r="U414" i="20" s="1"/>
  <c r="O523" i="21"/>
  <c r="K21" i="18"/>
  <c r="K18" i="18" s="1"/>
  <c r="U116" i="18"/>
  <c r="H146" i="18"/>
  <c r="H145" i="18" s="1"/>
  <c r="H144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323" i="20"/>
  <c r="I340" i="20"/>
  <c r="H374" i="20"/>
  <c r="H373" i="20" s="1"/>
  <c r="H372" i="20" s="1"/>
  <c r="H438" i="20"/>
  <c r="H437" i="20" s="1"/>
  <c r="H436" i="20" s="1"/>
  <c r="H435" i="20" s="1"/>
  <c r="H434" i="20" s="1"/>
  <c r="M152" i="21"/>
  <c r="M175" i="21"/>
  <c r="M173" i="21" s="1"/>
  <c r="N282" i="21"/>
  <c r="M386" i="21"/>
  <c r="N554" i="21"/>
  <c r="R554" i="21"/>
  <c r="J164" i="18"/>
  <c r="I347" i="18"/>
  <c r="H264" i="20"/>
  <c r="U279" i="18"/>
  <c r="U278" i="18" s="1"/>
  <c r="U277" i="18" s="1"/>
  <c r="U276" i="18" s="1"/>
  <c r="H338" i="18"/>
  <c r="H337" i="18" s="1"/>
  <c r="H273" i="20"/>
  <c r="L32" i="21"/>
  <c r="N164" i="18"/>
  <c r="Q523" i="21"/>
  <c r="H279" i="18"/>
  <c r="H278" i="18" s="1"/>
  <c r="H277" i="18" s="1"/>
  <c r="H276" i="18" s="1"/>
  <c r="J144" i="18"/>
  <c r="J143" i="18" s="1"/>
  <c r="I58" i="18"/>
  <c r="I57" i="18" s="1"/>
  <c r="J248" i="21"/>
  <c r="J247" i="21" s="1"/>
  <c r="J246" i="21" s="1"/>
  <c r="H120" i="18"/>
  <c r="H119" i="18" s="1"/>
  <c r="N160" i="18"/>
  <c r="N159" i="18" s="1"/>
  <c r="H59" i="20"/>
  <c r="U166" i="20"/>
  <c r="U165" i="20" s="1"/>
  <c r="H35" i="18"/>
  <c r="H34" i="18" s="1"/>
  <c r="U56" i="18"/>
  <c r="U55" i="18" s="1"/>
  <c r="I309" i="18"/>
  <c r="N317" i="18"/>
  <c r="N316" i="18" s="1"/>
  <c r="N309" i="18" s="1"/>
  <c r="N170" i="20"/>
  <c r="J416" i="20"/>
  <c r="J415" i="20" s="1"/>
  <c r="J414" i="20" s="1"/>
  <c r="I298" i="18"/>
  <c r="U264" i="20"/>
  <c r="I268" i="20"/>
  <c r="H327" i="20"/>
  <c r="J21" i="18"/>
  <c r="N58" i="18"/>
  <c r="N57" i="18" s="1"/>
  <c r="N56" i="18" s="1"/>
  <c r="N55" i="18" s="1"/>
  <c r="H59" i="18"/>
  <c r="H58" i="18" s="1"/>
  <c r="H57" i="18" s="1"/>
  <c r="H56" i="18" s="1"/>
  <c r="H55" i="18" s="1"/>
  <c r="H21" i="18" s="1"/>
  <c r="H19" i="18" s="1"/>
  <c r="J58" i="18"/>
  <c r="J57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N242" i="18"/>
  <c r="N241" i="18" s="1"/>
  <c r="J247" i="18"/>
  <c r="I253" i="18"/>
  <c r="N253" i="18"/>
  <c r="N252" i="18" s="1"/>
  <c r="N247" i="18" s="1"/>
  <c r="I342" i="18"/>
  <c r="N342" i="18"/>
  <c r="J342" i="18"/>
  <c r="J338" i="18" s="1"/>
  <c r="J58" i="20"/>
  <c r="J57" i="20" s="1"/>
  <c r="J56" i="20" s="1"/>
  <c r="J55" i="20" s="1"/>
  <c r="H119" i="20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N220" i="20"/>
  <c r="H227" i="20"/>
  <c r="I257" i="20"/>
  <c r="I256" i="20" s="1"/>
  <c r="J257" i="20"/>
  <c r="J256" i="20" s="1"/>
  <c r="U260" i="20"/>
  <c r="H268" i="20"/>
  <c r="H267" i="20" s="1"/>
  <c r="U268" i="20"/>
  <c r="N268" i="20"/>
  <c r="J273" i="20"/>
  <c r="N273" i="20"/>
  <c r="J340" i="20"/>
  <c r="J334" i="20" s="1"/>
  <c r="N378" i="20"/>
  <c r="J378" i="20"/>
  <c r="J374" i="20" s="1"/>
  <c r="U405" i="20"/>
  <c r="U404" i="20" s="1"/>
  <c r="U403" i="20" s="1"/>
  <c r="U402" i="20" s="1"/>
  <c r="U401" i="20" s="1"/>
  <c r="N421" i="20"/>
  <c r="N420" i="20" s="1"/>
  <c r="K428" i="20"/>
  <c r="L428" i="20" s="1"/>
  <c r="P31" i="21"/>
  <c r="P30" i="21" s="1"/>
  <c r="O31" i="21"/>
  <c r="O30" i="21" s="1"/>
  <c r="O21" i="21" s="1"/>
  <c r="M134" i="21"/>
  <c r="O134" i="21"/>
  <c r="J152" i="21"/>
  <c r="N175" i="21"/>
  <c r="N174" i="21" s="1"/>
  <c r="J229" i="21"/>
  <c r="J228" i="21" s="1"/>
  <c r="Q229" i="21"/>
  <c r="P252" i="2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U91" i="18"/>
  <c r="U54" i="18" s="1"/>
  <c r="I144" i="18"/>
  <c r="I143" i="18" s="1"/>
  <c r="J160" i="18"/>
  <c r="J159" i="18" s="1"/>
  <c r="H164" i="18"/>
  <c r="H160" i="18" s="1"/>
  <c r="H159" i="18" s="1"/>
  <c r="U164" i="18"/>
  <c r="I176" i="18"/>
  <c r="J176" i="18"/>
  <c r="J142" i="18" s="1"/>
  <c r="H183" i="18"/>
  <c r="H182" i="18" s="1"/>
  <c r="H181" i="18" s="1"/>
  <c r="H176" i="18" s="1"/>
  <c r="H142" i="18" s="1"/>
  <c r="H204" i="18"/>
  <c r="H203" i="18" s="1"/>
  <c r="H202" i="18" s="1"/>
  <c r="H192" i="18" s="1"/>
  <c r="U204" i="18"/>
  <c r="U203" i="18" s="1"/>
  <c r="U202" i="18" s="1"/>
  <c r="U192" i="18" s="1"/>
  <c r="N204" i="18"/>
  <c r="N203" i="18" s="1"/>
  <c r="N202" i="18" s="1"/>
  <c r="N192" i="18" s="1"/>
  <c r="N191" i="18" s="1"/>
  <c r="J240" i="18"/>
  <c r="J191" i="18" s="1"/>
  <c r="I252" i="18"/>
  <c r="I247" i="18" s="1"/>
  <c r="J298" i="18"/>
  <c r="U317" i="18"/>
  <c r="U316" i="18" s="1"/>
  <c r="H336" i="18"/>
  <c r="U338" i="18"/>
  <c r="U337" i="18" s="1"/>
  <c r="U336" i="18" s="1"/>
  <c r="I338" i="18"/>
  <c r="I337" i="18" s="1"/>
  <c r="I336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H150" i="20" s="1"/>
  <c r="N166" i="20"/>
  <c r="N165" i="20" s="1"/>
  <c r="H166" i="20"/>
  <c r="H165" i="20" s="1"/>
  <c r="I182" i="20"/>
  <c r="U257" i="20"/>
  <c r="U256" i="20" s="1"/>
  <c r="J313" i="20"/>
  <c r="J312" i="20" s="1"/>
  <c r="J311" i="20" s="1"/>
  <c r="J310" i="20" s="1"/>
  <c r="U323" i="20"/>
  <c r="P437" i="21"/>
  <c r="R379" i="21"/>
  <c r="R378" i="21" s="1"/>
  <c r="M379" i="2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L105" i="21" s="1"/>
  <c r="O206" i="21"/>
  <c r="O204" i="21" s="1"/>
  <c r="L299" i="21"/>
  <c r="P554" i="21"/>
  <c r="J83" i="21"/>
  <c r="Q83" i="21"/>
  <c r="L175" i="21"/>
  <c r="L174" i="21" s="1"/>
  <c r="P386" i="21"/>
  <c r="P387" i="21" s="1"/>
  <c r="R437" i="21"/>
  <c r="M469" i="21"/>
  <c r="J565" i="21"/>
  <c r="N31" i="21"/>
  <c r="N30" i="21" s="1"/>
  <c r="N21" i="21" s="1"/>
  <c r="N83" i="21"/>
  <c r="R83" i="21"/>
  <c r="P134" i="21"/>
  <c r="P130" i="21" s="1"/>
  <c r="P105" i="21" s="1"/>
  <c r="M247" i="21"/>
  <c r="M246" i="21" s="1"/>
  <c r="M299" i="21"/>
  <c r="L386" i="21"/>
  <c r="L379" i="21" s="1"/>
  <c r="O227" i="21"/>
  <c r="O226" i="21" s="1"/>
  <c r="P240" i="21"/>
  <c r="P236" i="21" s="1"/>
  <c r="P241" i="21"/>
  <c r="L35" i="21"/>
  <c r="L31" i="21" s="1"/>
  <c r="L30" i="21" s="1"/>
  <c r="L21" i="21" s="1"/>
  <c r="M130" i="21"/>
  <c r="M105" i="21" s="1"/>
  <c r="J134" i="21"/>
  <c r="J130" i="21" s="1"/>
  <c r="J105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88" i="21"/>
  <c r="N460" i="21"/>
  <c r="R582" i="21"/>
  <c r="J582" i="21"/>
  <c r="N134" i="21"/>
  <c r="N130" i="21" s="1"/>
  <c r="N105" i="21" s="1"/>
  <c r="R134" i="21"/>
  <c r="R130" i="21" s="1"/>
  <c r="R105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P21" i="21"/>
  <c r="M32" i="21"/>
  <c r="M31" i="21" s="1"/>
  <c r="M30" i="21" s="1"/>
  <c r="M85" i="21"/>
  <c r="M84" i="21" s="1"/>
  <c r="M83" i="21" s="1"/>
  <c r="L173" i="21"/>
  <c r="Q341" i="21"/>
  <c r="M28" i="21"/>
  <c r="M27" i="21" s="1"/>
  <c r="M26" i="21" s="1"/>
  <c r="M25" i="21" s="1"/>
  <c r="M21" i="21" s="1"/>
  <c r="Q134" i="21"/>
  <c r="Q130" i="21" s="1"/>
  <c r="Q105" i="21" s="1"/>
  <c r="N173" i="21"/>
  <c r="Q240" i="21"/>
  <c r="Q236" i="21" s="1"/>
  <c r="Q241" i="21"/>
  <c r="Q31" i="21"/>
  <c r="Q30" i="21" s="1"/>
  <c r="Q21" i="21" s="1"/>
  <c r="O130" i="21"/>
  <c r="O105" i="21" s="1"/>
  <c r="N219" i="21"/>
  <c r="N216" i="21" s="1"/>
  <c r="J240" i="21"/>
  <c r="J236" i="21" s="1"/>
  <c r="J241" i="21"/>
  <c r="J173" i="21"/>
  <c r="M174" i="21"/>
  <c r="J300" i="21"/>
  <c r="J299" i="21" s="1"/>
  <c r="M191" i="21"/>
  <c r="Q228" i="21"/>
  <c r="Q227" i="21" s="1"/>
  <c r="Q226" i="21" s="1"/>
  <c r="L246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Q246" i="21"/>
  <c r="N268" i="21"/>
  <c r="N267" i="21" s="1"/>
  <c r="N266" i="21" s="1"/>
  <c r="R266" i="21"/>
  <c r="R290" i="21"/>
  <c r="N300" i="21"/>
  <c r="N299" i="21" s="1"/>
  <c r="R300" i="21"/>
  <c r="R299" i="21" s="1"/>
  <c r="R341" i="21"/>
  <c r="J392" i="21"/>
  <c r="N387" i="21"/>
  <c r="R523" i="21"/>
  <c r="L469" i="21"/>
  <c r="L378" i="21" s="1"/>
  <c r="P523" i="21"/>
  <c r="N565" i="21"/>
  <c r="O191" i="21"/>
  <c r="J219" i="21"/>
  <c r="Q219" i="21"/>
  <c r="Q216" i="21" s="1"/>
  <c r="P247" i="21"/>
  <c r="P246" i="21" s="1"/>
  <c r="N311" i="21"/>
  <c r="P312" i="21"/>
  <c r="P311" i="21" s="1"/>
  <c r="J386" i="21"/>
  <c r="J387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J227" i="21"/>
  <c r="P378" i="21"/>
  <c r="P385" i="21"/>
  <c r="N371" i="21"/>
  <c r="N372" i="21"/>
  <c r="L229" i="21"/>
  <c r="L227" i="21" s="1"/>
  <c r="N434" i="21"/>
  <c r="J467" i="21"/>
  <c r="N469" i="21"/>
  <c r="N473" i="21"/>
  <c r="H199" i="20"/>
  <c r="J267" i="20"/>
  <c r="H118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I150" i="20" s="1"/>
  <c r="I149" i="20" s="1"/>
  <c r="I148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N257" i="20"/>
  <c r="N256" i="20" s="1"/>
  <c r="U273" i="20"/>
  <c r="U317" i="20"/>
  <c r="U313" i="20" s="1"/>
  <c r="U312" i="20" s="1"/>
  <c r="U311" i="20" s="1"/>
  <c r="U310" i="20" s="1"/>
  <c r="J345" i="20"/>
  <c r="I378" i="20"/>
  <c r="I374" i="20" s="1"/>
  <c r="I373" i="20" s="1"/>
  <c r="I372" i="20" s="1"/>
  <c r="I363" i="20" s="1"/>
  <c r="J262" i="20"/>
  <c r="U267" i="20"/>
  <c r="N317" i="20"/>
  <c r="N313" i="20" s="1"/>
  <c r="N312" i="20" s="1"/>
  <c r="N311" i="20" s="1"/>
  <c r="N310" i="20" s="1"/>
  <c r="U322" i="20"/>
  <c r="I334" i="20"/>
  <c r="U345" i="20"/>
  <c r="U400" i="20"/>
  <c r="U399" i="20" s="1"/>
  <c r="I421" i="20"/>
  <c r="I420" i="20" s="1"/>
  <c r="I416" i="20" s="1"/>
  <c r="I415" i="20" s="1"/>
  <c r="I414" i="20" s="1"/>
  <c r="I400" i="20" s="1"/>
  <c r="I399" i="20" s="1"/>
  <c r="K421" i="20"/>
  <c r="H58" i="20"/>
  <c r="H57" i="20" s="1"/>
  <c r="H56" i="20" s="1"/>
  <c r="H55" i="20" s="1"/>
  <c r="H21" i="20" s="1"/>
  <c r="U56" i="20"/>
  <c r="U55" i="20" s="1"/>
  <c r="N91" i="20"/>
  <c r="J120" i="20"/>
  <c r="J119" i="20" s="1"/>
  <c r="J118" i="20" s="1"/>
  <c r="J117" i="20" s="1"/>
  <c r="I121" i="20"/>
  <c r="I120" i="20" s="1"/>
  <c r="I119" i="20" s="1"/>
  <c r="I118" i="20" s="1"/>
  <c r="I117" i="20" s="1"/>
  <c r="U121" i="20"/>
  <c r="U120" i="20" s="1"/>
  <c r="J182" i="20"/>
  <c r="J148" i="20" s="1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I267" i="20"/>
  <c r="H353" i="20"/>
  <c r="H352" i="20" s="1"/>
  <c r="H345" i="20" s="1"/>
  <c r="H421" i="20"/>
  <c r="H420" i="20" s="1"/>
  <c r="H416" i="20" s="1"/>
  <c r="H415" i="20" s="1"/>
  <c r="H414" i="20" s="1"/>
  <c r="I21" i="20"/>
  <c r="I19" i="20" s="1"/>
  <c r="I58" i="20"/>
  <c r="I57" i="20" s="1"/>
  <c r="I56" i="20" s="1"/>
  <c r="I55" i="20" s="1"/>
  <c r="I54" i="20" s="1"/>
  <c r="K21" i="20"/>
  <c r="K18" i="20" s="1"/>
  <c r="N210" i="20"/>
  <c r="N209" i="20" s="1"/>
  <c r="N208" i="20" s="1"/>
  <c r="N198" i="20" s="1"/>
  <c r="N197" i="20" s="1"/>
  <c r="H260" i="20"/>
  <c r="H257" i="20" s="1"/>
  <c r="H256" i="20" s="1"/>
  <c r="H284" i="20"/>
  <c r="J323" i="20"/>
  <c r="N353" i="20"/>
  <c r="N352" i="20" s="1"/>
  <c r="N345" i="20" s="1"/>
  <c r="U374" i="20"/>
  <c r="U373" i="20" s="1"/>
  <c r="U372" i="20" s="1"/>
  <c r="U363" i="20" s="1"/>
  <c r="N374" i="20"/>
  <c r="N373" i="20" s="1"/>
  <c r="N372" i="20" s="1"/>
  <c r="N363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N56" i="20"/>
  <c r="N55" i="20" s="1"/>
  <c r="J91" i="20"/>
  <c r="J54" i="20" s="1"/>
  <c r="H142" i="20"/>
  <c r="H141" i="20"/>
  <c r="H117" i="20" s="1"/>
  <c r="N141" i="20"/>
  <c r="N117" i="20" s="1"/>
  <c r="N142" i="20"/>
  <c r="N267" i="20"/>
  <c r="I262" i="20"/>
  <c r="I255" i="20" s="1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H262" i="20"/>
  <c r="U262" i="20"/>
  <c r="N182" i="20"/>
  <c r="N148" i="20" s="1"/>
  <c r="H149" i="20"/>
  <c r="U189" i="20"/>
  <c r="U188" i="20" s="1"/>
  <c r="U187" i="20" s="1"/>
  <c r="U182" i="20" s="1"/>
  <c r="U148" i="20" s="1"/>
  <c r="J255" i="20"/>
  <c r="N263" i="20"/>
  <c r="N264" i="20"/>
  <c r="H286" i="20"/>
  <c r="H285" i="20" s="1"/>
  <c r="H299" i="20"/>
  <c r="H298" i="20"/>
  <c r="H255" i="20" s="1"/>
  <c r="H363" i="20"/>
  <c r="J400" i="20"/>
  <c r="J399" i="20" s="1"/>
  <c r="N322" i="20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N416" i="20"/>
  <c r="N415" i="20" s="1"/>
  <c r="N414" i="20" s="1"/>
  <c r="J19" i="18"/>
  <c r="J20" i="18"/>
  <c r="U21" i="18"/>
  <c r="N54" i="18"/>
  <c r="H54" i="18"/>
  <c r="J56" i="18"/>
  <c r="J55" i="18" s="1"/>
  <c r="J54" i="18" s="1"/>
  <c r="I21" i="18"/>
  <c r="M55" i="18"/>
  <c r="H135" i="18"/>
  <c r="H116" i="18" s="1"/>
  <c r="H136" i="18"/>
  <c r="N21" i="18"/>
  <c r="I56" i="18"/>
  <c r="I55" i="18" s="1"/>
  <c r="I54" i="18" s="1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U191" i="18"/>
  <c r="H212" i="18"/>
  <c r="H191" i="18" s="1"/>
  <c r="U160" i="18"/>
  <c r="U159" i="18" s="1"/>
  <c r="I212" i="18"/>
  <c r="I240" i="18"/>
  <c r="U309" i="18"/>
  <c r="H252" i="18"/>
  <c r="H327" i="18"/>
  <c r="U327" i="18"/>
  <c r="U300" i="18"/>
  <c r="U290" i="18"/>
  <c r="U289" i="18" s="1"/>
  <c r="U288" i="18" s="1"/>
  <c r="U287" i="18" s="1"/>
  <c r="U286" i="18" s="1"/>
  <c r="H309" i="18"/>
  <c r="U245" i="18"/>
  <c r="U242" i="18" s="1"/>
  <c r="U241" i="18" s="1"/>
  <c r="U248" i="18"/>
  <c r="I327" i="18"/>
  <c r="J347" i="18"/>
  <c r="H248" i="18"/>
  <c r="U258" i="18"/>
  <c r="U252" i="18" s="1"/>
  <c r="N338" i="18"/>
  <c r="N337" i="18" s="1"/>
  <c r="N336" i="18" s="1"/>
  <c r="N327" i="18" s="1"/>
  <c r="H54" i="20" l="1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53" i="18" s="1"/>
  <c r="J18" i="18" s="1"/>
  <c r="H20" i="18"/>
  <c r="H18" i="18" s="1"/>
  <c r="M18" i="18" s="1"/>
  <c r="U53" i="18"/>
  <c r="J373" i="20"/>
  <c r="J372" i="20" s="1"/>
  <c r="J363" i="20" s="1"/>
  <c r="U54" i="20"/>
  <c r="U197" i="20"/>
  <c r="R215" i="21"/>
  <c r="O173" i="21"/>
  <c r="L20" i="21"/>
  <c r="L12" i="21" s="1"/>
  <c r="P173" i="21"/>
  <c r="P20" i="21" s="1"/>
  <c r="P11" i="21" s="1"/>
  <c r="M190" i="21"/>
  <c r="M189" i="21" s="1"/>
  <c r="O20" i="21"/>
  <c r="O11" i="21" s="1"/>
  <c r="P215" i="21"/>
  <c r="P190" i="21" s="1"/>
  <c r="P189" i="21" s="1"/>
  <c r="Q215" i="21"/>
  <c r="Q190" i="21" s="1"/>
  <c r="Q189" i="21" s="1"/>
  <c r="M20" i="21"/>
  <c r="M12" i="21" s="1"/>
  <c r="J20" i="21"/>
  <c r="J11" i="21" s="1"/>
  <c r="N20" i="21"/>
  <c r="N11" i="21" s="1"/>
  <c r="R174" i="21"/>
  <c r="R173" i="21"/>
  <c r="R20" i="21" s="1"/>
  <c r="R11" i="21" s="1"/>
  <c r="R190" i="21"/>
  <c r="R189" i="21" s="1"/>
  <c r="J379" i="21"/>
  <c r="J378" i="21" s="1"/>
  <c r="Q20" i="21"/>
  <c r="Q11" i="21" s="1"/>
  <c r="L226" i="21"/>
  <c r="L215" i="21"/>
  <c r="L190" i="21" s="1"/>
  <c r="L189" i="21" s="1"/>
  <c r="N215" i="21"/>
  <c r="N190" i="21" s="1"/>
  <c r="N189" i="21" s="1"/>
  <c r="O215" i="21"/>
  <c r="O190" i="21" s="1"/>
  <c r="O189" i="21" s="1"/>
  <c r="J215" i="21"/>
  <c r="J190" i="21" s="1"/>
  <c r="J226" i="21"/>
  <c r="U21" i="20"/>
  <c r="U20" i="20" s="1"/>
  <c r="U18" i="20" s="1"/>
  <c r="J197" i="20"/>
  <c r="J53" i="20" s="1"/>
  <c r="I197" i="20"/>
  <c r="I53" i="20" s="1"/>
  <c r="I18" i="20" s="1"/>
  <c r="I20" i="20"/>
  <c r="H148" i="20"/>
  <c r="V154" i="20"/>
  <c r="U53" i="20"/>
  <c r="N54" i="20"/>
  <c r="N53" i="20" s="1"/>
  <c r="N21" i="20"/>
  <c r="J20" i="20"/>
  <c r="J19" i="20"/>
  <c r="H19" i="20"/>
  <c r="N262" i="20"/>
  <c r="U247" i="18"/>
  <c r="H53" i="18"/>
  <c r="N19" i="18"/>
  <c r="N20" i="18"/>
  <c r="N18" i="18" s="1"/>
  <c r="I20" i="18"/>
  <c r="I19" i="18"/>
  <c r="N53" i="18"/>
  <c r="H247" i="18"/>
  <c r="I191" i="18"/>
  <c r="I53" i="18" s="1"/>
  <c r="U20" i="18"/>
  <c r="U18" i="18" s="1"/>
  <c r="U19" i="18"/>
  <c r="U19" i="20" l="1"/>
  <c r="J385" i="21"/>
  <c r="H18" i="20"/>
  <c r="M18" i="20" s="1"/>
  <c r="H53" i="20"/>
  <c r="J189" i="21"/>
  <c r="H20" i="20"/>
  <c r="J18" i="20"/>
  <c r="N20" i="20"/>
  <c r="N18" i="20" s="1"/>
  <c r="N19" i="20"/>
  <c r="I18" i="18"/>
  <c r="V102" i="15" l="1"/>
  <c r="J20" i="16" l="1"/>
  <c r="J19" i="16" s="1"/>
  <c r="J25" i="16" s="1"/>
  <c r="I20" i="16"/>
  <c r="I19" i="16" s="1"/>
  <c r="I25" i="16" s="1"/>
  <c r="H20" i="16"/>
  <c r="H19" i="16" s="1"/>
  <c r="H25" i="16" s="1"/>
  <c r="N228" i="11" l="1"/>
  <c r="H292" i="17"/>
  <c r="R524" i="11"/>
  <c r="R525" i="11"/>
  <c r="R527" i="11"/>
  <c r="U185" i="17"/>
  <c r="U189" i="17"/>
  <c r="N185" i="17"/>
  <c r="H148" i="17"/>
  <c r="K34" i="15" l="1"/>
  <c r="N363" i="11" l="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I354" i="17"/>
  <c r="U349" i="17"/>
  <c r="U348" i="17" s="1"/>
  <c r="U347" i="17" s="1"/>
  <c r="N349" i="17"/>
  <c r="N348" i="17" s="1"/>
  <c r="N347" i="17" s="1"/>
  <c r="J349" i="17"/>
  <c r="J348" i="17" s="1"/>
  <c r="J347" i="17" s="1"/>
  <c r="I349" i="17"/>
  <c r="I348" i="17" s="1"/>
  <c r="I347" i="17" s="1"/>
  <c r="H349" i="17"/>
  <c r="H348" i="17" s="1"/>
  <c r="H347" i="17" s="1"/>
  <c r="U345" i="17"/>
  <c r="N345" i="17"/>
  <c r="J345" i="17"/>
  <c r="I345" i="17"/>
  <c r="H345" i="17"/>
  <c r="U343" i="17"/>
  <c r="U342" i="17" s="1"/>
  <c r="N343" i="17"/>
  <c r="J343" i="17"/>
  <c r="I343" i="17"/>
  <c r="H343" i="17"/>
  <c r="H342" i="17" s="1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H290" i="17"/>
  <c r="H289" i="17" s="1"/>
  <c r="H288" i="17" s="1"/>
  <c r="K288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N258" i="17" s="1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N250" i="17"/>
  <c r="N249" i="17" s="1"/>
  <c r="J250" i="17"/>
  <c r="J249" i="17" s="1"/>
  <c r="J248" i="17" s="1"/>
  <c r="I250" i="17"/>
  <c r="I249" i="17" s="1"/>
  <c r="I248" i="17" s="1"/>
  <c r="H250" i="17"/>
  <c r="H248" i="17" s="1"/>
  <c r="U249" i="17"/>
  <c r="H249" i="17"/>
  <c r="U248" i="17"/>
  <c r="K246" i="17"/>
  <c r="K241" i="17" s="1"/>
  <c r="N245" i="17"/>
  <c r="J245" i="17"/>
  <c r="I245" i="17"/>
  <c r="U243" i="17"/>
  <c r="N243" i="17"/>
  <c r="N242" i="17" s="1"/>
  <c r="N241" i="17" s="1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I221" i="17"/>
  <c r="I219" i="17" s="1"/>
  <c r="I218" i="17" s="1"/>
  <c r="I217" i="17" s="1"/>
  <c r="H221" i="17"/>
  <c r="H219" i="17" s="1"/>
  <c r="H218" i="17" s="1"/>
  <c r="N219" i="17"/>
  <c r="N218" i="17" s="1"/>
  <c r="J219" i="17"/>
  <c r="J218" i="17" s="1"/>
  <c r="J217" i="17" s="1"/>
  <c r="K218" i="17"/>
  <c r="U217" i="17"/>
  <c r="N217" i="17"/>
  <c r="H217" i="17"/>
  <c r="U215" i="17"/>
  <c r="U214" i="17" s="1"/>
  <c r="U213" i="17" s="1"/>
  <c r="N215" i="17"/>
  <c r="J215" i="17"/>
  <c r="J214" i="17" s="1"/>
  <c r="J213" i="17" s="1"/>
  <c r="I215" i="17"/>
  <c r="H215" i="17"/>
  <c r="H214" i="17" s="1"/>
  <c r="H213" i="17" s="1"/>
  <c r="N214" i="17"/>
  <c r="N213" i="17" s="1"/>
  <c r="N212" i="17" s="1"/>
  <c r="I214" i="17"/>
  <c r="I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I183" i="17" s="1"/>
  <c r="I182" i="17" s="1"/>
  <c r="I181" i="17" s="1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I179" i="17"/>
  <c r="I178" i="17" s="1"/>
  <c r="I177" i="17" s="1"/>
  <c r="H179" i="17"/>
  <c r="H178" i="17" s="1"/>
  <c r="H177" i="17" s="1"/>
  <c r="J178" i="17"/>
  <c r="J177" i="17" s="1"/>
  <c r="K177" i="17"/>
  <c r="H174" i="17"/>
  <c r="H173" i="17" s="1"/>
  <c r="H172" i="17" s="1"/>
  <c r="H171" i="17" s="1"/>
  <c r="U174" i="17"/>
  <c r="N174" i="17"/>
  <c r="N173" i="17" s="1"/>
  <c r="N172" i="17" s="1"/>
  <c r="N171" i="17" s="1"/>
  <c r="J174" i="17"/>
  <c r="J173" i="17" s="1"/>
  <c r="J172" i="17" s="1"/>
  <c r="J171" i="17" s="1"/>
  <c r="I174" i="17"/>
  <c r="U173" i="17"/>
  <c r="U172" i="17" s="1"/>
  <c r="U171" i="17" s="1"/>
  <c r="I173" i="17"/>
  <c r="I172" i="17" s="1"/>
  <c r="I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J162" i="17"/>
  <c r="J161" i="17" s="1"/>
  <c r="I162" i="17"/>
  <c r="I161" i="17" s="1"/>
  <c r="H162" i="17"/>
  <c r="H161" i="17" s="1"/>
  <c r="N161" i="17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K139" i="17"/>
  <c r="J139" i="17"/>
  <c r="J138" i="17" s="1"/>
  <c r="H139" i="17"/>
  <c r="H138" i="17" s="1"/>
  <c r="N138" i="17"/>
  <c r="N137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I91" i="17" s="1"/>
  <c r="U94" i="17"/>
  <c r="U93" i="17" s="1"/>
  <c r="U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H89" i="17"/>
  <c r="H88" i="17" s="1"/>
  <c r="H87" i="17" s="1"/>
  <c r="H86" i="17" s="1"/>
  <c r="H85" i="17" s="1"/>
  <c r="I88" i="17"/>
  <c r="I87" i="17" s="1"/>
  <c r="I86" i="17" s="1"/>
  <c r="I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H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H51" i="17"/>
  <c r="H50" i="17" s="1"/>
  <c r="H49" i="17" s="1"/>
  <c r="H48" i="17" s="1"/>
  <c r="I50" i="17"/>
  <c r="I49" i="17" s="1"/>
  <c r="I48" i="17" s="1"/>
  <c r="I47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N290" i="17" l="1"/>
  <c r="N289" i="17" s="1"/>
  <c r="N288" i="17" s="1"/>
  <c r="I146" i="17"/>
  <c r="I145" i="17" s="1"/>
  <c r="J154" i="17"/>
  <c r="J153" i="17" s="1"/>
  <c r="I176" i="17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H253" i="17"/>
  <c r="U253" i="17"/>
  <c r="I304" i="17"/>
  <c r="J364" i="17"/>
  <c r="J363" i="17" s="1"/>
  <c r="I342" i="17"/>
  <c r="I258" i="17"/>
  <c r="H263" i="17"/>
  <c r="H258" i="17" s="1"/>
  <c r="H252" i="17" s="1"/>
  <c r="H247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U191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J252" i="17" s="1"/>
  <c r="J247" i="17" s="1"/>
  <c r="J240" i="17" s="1"/>
  <c r="N342" i="17"/>
  <c r="J342" i="17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N56" i="17"/>
  <c r="N55" i="17" s="1"/>
  <c r="J183" i="17"/>
  <c r="J182" i="17" s="1"/>
  <c r="J181" i="17" s="1"/>
  <c r="J176" i="17" s="1"/>
  <c r="N204" i="17"/>
  <c r="N203" i="17" s="1"/>
  <c r="N202" i="17" s="1"/>
  <c r="N192" i="17" s="1"/>
  <c r="N191" i="17" s="1"/>
  <c r="J204" i="17"/>
  <c r="J203" i="17" s="1"/>
  <c r="J202" i="17" s="1"/>
  <c r="J192" i="17" s="1"/>
  <c r="U212" i="17"/>
  <c r="J242" i="17"/>
  <c r="J241" i="17" s="1"/>
  <c r="N253" i="17"/>
  <c r="N252" i="17" s="1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R32" i="15"/>
  <c r="R116" i="15" s="1"/>
  <c r="P76" i="15"/>
  <c r="K21" i="17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J338" i="17"/>
  <c r="J337" i="17" s="1"/>
  <c r="J336" i="17" s="1"/>
  <c r="J327" i="17" s="1"/>
  <c r="H146" i="17"/>
  <c r="H145" i="17" s="1"/>
  <c r="K18" i="17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H287" i="17"/>
  <c r="H286" i="17" s="1"/>
  <c r="I298" i="17"/>
  <c r="N317" i="17"/>
  <c r="N316" i="17" s="1"/>
  <c r="N309" i="17" s="1"/>
  <c r="I338" i="17"/>
  <c r="I337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I54" i="17" s="1"/>
  <c r="K55" i="17"/>
  <c r="M55" i="17" s="1"/>
  <c r="U58" i="17"/>
  <c r="U57" i="17" s="1"/>
  <c r="U56" i="17" s="1"/>
  <c r="U55" i="17" s="1"/>
  <c r="J91" i="17"/>
  <c r="I120" i="17"/>
  <c r="I119" i="17" s="1"/>
  <c r="I118" i="17" s="1"/>
  <c r="I117" i="17" s="1"/>
  <c r="I116" i="17" s="1"/>
  <c r="H120" i="17"/>
  <c r="H119" i="17" s="1"/>
  <c r="U120" i="17"/>
  <c r="U119" i="17" s="1"/>
  <c r="J304" i="17"/>
  <c r="J298" i="17" s="1"/>
  <c r="I309" i="17"/>
  <c r="I144" i="17"/>
  <c r="I143" i="17" s="1"/>
  <c r="J58" i="17"/>
  <c r="J57" i="17" s="1"/>
  <c r="J56" i="17" s="1"/>
  <c r="J55" i="17" s="1"/>
  <c r="N91" i="17"/>
  <c r="N54" i="17" s="1"/>
  <c r="J120" i="17"/>
  <c r="J119" i="17" s="1"/>
  <c r="J118" i="17" s="1"/>
  <c r="J117" i="17" s="1"/>
  <c r="J116" i="17" s="1"/>
  <c r="I132" i="17"/>
  <c r="I131" i="17" s="1"/>
  <c r="J144" i="17"/>
  <c r="J143" i="17" s="1"/>
  <c r="J142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U338" i="17"/>
  <c r="U337" i="17" s="1"/>
  <c r="U336" i="17" s="1"/>
  <c r="U327" i="17" s="1"/>
  <c r="N338" i="17"/>
  <c r="N337" i="17" s="1"/>
  <c r="N336" i="17" s="1"/>
  <c r="N327" i="17" s="1"/>
  <c r="H193" i="17"/>
  <c r="U317" i="17"/>
  <c r="U316" i="17" s="1"/>
  <c r="U309" i="17" s="1"/>
  <c r="J309" i="17"/>
  <c r="H317" i="17"/>
  <c r="H316" i="17" s="1"/>
  <c r="H309" i="17" s="1"/>
  <c r="I336" i="17"/>
  <c r="I327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H364" i="17"/>
  <c r="H363" i="17" s="1"/>
  <c r="I212" i="17"/>
  <c r="H212" i="17"/>
  <c r="N287" i="17"/>
  <c r="N286" i="17" s="1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H192" i="17" l="1"/>
  <c r="I142" i="17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J54" i="17"/>
  <c r="P32" i="15"/>
  <c r="P116" i="15" s="1"/>
  <c r="J191" i="17"/>
  <c r="I191" i="17"/>
  <c r="I53" i="17" s="1"/>
  <c r="I18" i="17" s="1"/>
  <c r="N247" i="17"/>
  <c r="N53" i="17"/>
  <c r="N20" i="17"/>
  <c r="N18" i="17" s="1"/>
  <c r="U53" i="17"/>
  <c r="U21" i="17"/>
  <c r="H54" i="17"/>
  <c r="H136" i="17"/>
  <c r="H135" i="17"/>
  <c r="H116" i="17" s="1"/>
  <c r="H191" i="17"/>
  <c r="J20" i="17"/>
  <c r="H21" i="17"/>
  <c r="U291" i="12"/>
  <c r="N291" i="12"/>
  <c r="H291" i="12"/>
  <c r="R359" i="11"/>
  <c r="Q359" i="11"/>
  <c r="R358" i="11"/>
  <c r="Q358" i="11"/>
  <c r="R357" i="11"/>
  <c r="Q357" i="11"/>
  <c r="J53" i="17" l="1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7" i="12" s="1"/>
  <c r="N316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204" i="12" s="1"/>
  <c r="N203" i="12" s="1"/>
  <c r="N202" i="12" s="1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8" i="11" s="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4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Q166" i="11" l="1"/>
  <c r="Q351" i="11"/>
  <c r="R134" i="1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Q206" i="11"/>
  <c r="Q204" i="11" s="1"/>
  <c r="R130" i="11"/>
  <c r="R98" i="11"/>
  <c r="R93" i="11" s="1"/>
  <c r="U204" i="12"/>
  <c r="U203" i="12" s="1"/>
  <c r="U202" i="12" s="1"/>
  <c r="R485" i="11"/>
  <c r="R516" i="11"/>
  <c r="Q31" i="11"/>
  <c r="Q30" i="11" s="1"/>
  <c r="Q516" i="11"/>
  <c r="U300" i="12"/>
  <c r="Q112" i="11"/>
  <c r="Q106" i="11" s="1"/>
  <c r="Q485" i="11"/>
  <c r="R117" i="11"/>
  <c r="R226" i="11"/>
  <c r="N91" i="12"/>
  <c r="U253" i="12"/>
  <c r="U369" i="12"/>
  <c r="U368" i="12" s="1"/>
  <c r="U367" i="12" s="1"/>
  <c r="U366" i="12" s="1"/>
  <c r="U365" i="12" s="1"/>
  <c r="U364" i="12" s="1"/>
  <c r="U363" i="12" s="1"/>
  <c r="R225" i="11"/>
  <c r="R224" i="11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541" i="11"/>
  <c r="U120" i="12"/>
  <c r="U249" i="12"/>
  <c r="N300" i="12"/>
  <c r="R175" i="11"/>
  <c r="Q225" i="11"/>
  <c r="Q224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279" i="12"/>
  <c r="U278" i="12" s="1"/>
  <c r="U277" i="12" s="1"/>
  <c r="U276" i="12" s="1"/>
  <c r="N279" i="12"/>
  <c r="N278" i="12" s="1"/>
  <c r="N277" i="12" s="1"/>
  <c r="N276" i="12" s="1"/>
  <c r="U212" i="12"/>
  <c r="U176" i="12"/>
  <c r="U142" i="12" s="1"/>
  <c r="U154" i="12"/>
  <c r="U153" i="12" s="1"/>
  <c r="N154" i="12"/>
  <c r="N153" i="12" s="1"/>
  <c r="N144" i="12" s="1"/>
  <c r="U144" i="12"/>
  <c r="U119" i="12"/>
  <c r="N58" i="12"/>
  <c r="N57" i="12" s="1"/>
  <c r="N56" i="12" s="1"/>
  <c r="N55" i="12" s="1"/>
  <c r="U58" i="12"/>
  <c r="U57" i="12" s="1"/>
  <c r="U56" i="12" s="1"/>
  <c r="U55" i="12" s="1"/>
  <c r="Q524" i="11"/>
  <c r="R350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92" i="12"/>
  <c r="U137" i="12"/>
  <c r="U117" i="12"/>
  <c r="U116" i="12" s="1"/>
  <c r="N137" i="12"/>
  <c r="N117" i="12"/>
  <c r="N116" i="12" s="1"/>
  <c r="N192" i="12"/>
  <c r="N212" i="12"/>
  <c r="N309" i="12"/>
  <c r="N364" i="12"/>
  <c r="N363" i="12" s="1"/>
  <c r="N143" i="12"/>
  <c r="N248" i="12"/>
  <c r="R174" i="11"/>
  <c r="R173" i="11"/>
  <c r="R152" i="11"/>
  <c r="R166" i="11"/>
  <c r="R244" i="11"/>
  <c r="R243" i="11" s="1"/>
  <c r="R326" i="11"/>
  <c r="R105" i="11"/>
  <c r="R238" i="11"/>
  <c r="R237" i="11"/>
  <c r="R233" i="11" s="1"/>
  <c r="R442" i="11"/>
  <c r="R441" i="11" s="1"/>
  <c r="R223" i="11"/>
  <c r="Q238" i="11"/>
  <c r="Q237" i="11"/>
  <c r="Q233" i="11" s="1"/>
  <c r="Q223" i="11"/>
  <c r="Q21" i="11"/>
  <c r="Q152" i="11"/>
  <c r="Q85" i="11"/>
  <c r="Q84" i="11" s="1"/>
  <c r="Q130" i="11"/>
  <c r="Q105" i="11" s="1"/>
  <c r="Q175" i="11"/>
  <c r="U252" i="12" l="1"/>
  <c r="U247" i="12" s="1"/>
  <c r="U54" i="12"/>
  <c r="N21" i="12"/>
  <c r="Q83" i="11"/>
  <c r="R83" i="11"/>
  <c r="U191" i="12"/>
  <c r="U53" i="12" s="1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9" i="12"/>
  <c r="N136" i="12"/>
  <c r="N135" i="12"/>
  <c r="R215" i="11"/>
  <c r="R190" i="11" s="1"/>
  <c r="Q174" i="11"/>
  <c r="Q173" i="11"/>
  <c r="Q215" i="11"/>
  <c r="Q190" i="11" s="1"/>
  <c r="Q20" i="11" l="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O20" i="14" s="1"/>
  <c r="M23" i="14"/>
  <c r="K60" i="12"/>
  <c r="K61" i="12"/>
  <c r="L55" i="12"/>
  <c r="K40" i="12"/>
  <c r="M20" i="14" l="1"/>
  <c r="M17" i="14" s="1"/>
  <c r="O17" i="14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13" i="14"/>
  <c r="L312" i="14" s="1"/>
  <c r="L311" i="14" s="1"/>
  <c r="L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L299" i="14"/>
  <c r="L298" i="14" s="1"/>
  <c r="K299" i="14"/>
  <c r="K298" i="14" s="1"/>
  <c r="K297" i="14" s="1"/>
  <c r="J299" i="14"/>
  <c r="J298" i="14" s="1"/>
  <c r="I299" i="14"/>
  <c r="I298" i="14" s="1"/>
  <c r="H299" i="14"/>
  <c r="H298" i="14" s="1"/>
  <c r="L295" i="14"/>
  <c r="K295" i="14"/>
  <c r="J295" i="14"/>
  <c r="I295" i="14"/>
  <c r="H295" i="14"/>
  <c r="L293" i="14"/>
  <c r="L292" i="14" s="1"/>
  <c r="K293" i="14"/>
  <c r="J293" i="14"/>
  <c r="I293" i="14"/>
  <c r="H293" i="14"/>
  <c r="H292" i="14" s="1"/>
  <c r="L290" i="14"/>
  <c r="L289" i="14" s="1"/>
  <c r="K290" i="14"/>
  <c r="J290" i="14"/>
  <c r="I290" i="14"/>
  <c r="I289" i="14" s="1"/>
  <c r="H290" i="14"/>
  <c r="H289" i="14" s="1"/>
  <c r="K289" i="14"/>
  <c r="J289" i="14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J267" i="14"/>
  <c r="I267" i="14"/>
  <c r="H267" i="14"/>
  <c r="H266" i="14" s="1"/>
  <c r="H265" i="14" s="1"/>
  <c r="H264" i="14" s="1"/>
  <c r="H263" i="14" s="1"/>
  <c r="K266" i="14"/>
  <c r="K265" i="14" s="1"/>
  <c r="K264" i="14" s="1"/>
  <c r="K263" i="14" s="1"/>
  <c r="J266" i="14"/>
  <c r="J265" i="14" s="1"/>
  <c r="J264" i="14" s="1"/>
  <c r="J263" i="14" s="1"/>
  <c r="I266" i="14"/>
  <c r="I265" i="14" s="1"/>
  <c r="I264" i="14" s="1"/>
  <c r="I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K253" i="14"/>
  <c r="K252" i="14" s="1"/>
  <c r="K251" i="14" s="1"/>
  <c r="K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L161" i="14" s="1"/>
  <c r="L160" i="14" s="1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H124" i="14" s="1"/>
  <c r="H123" i="14" s="1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J112" i="14"/>
  <c r="J111" i="14" s="1"/>
  <c r="J110" i="14" s="1"/>
  <c r="I112" i="14"/>
  <c r="I111" i="14" s="1"/>
  <c r="I110" i="14" s="1"/>
  <c r="H112" i="14"/>
  <c r="H111" i="14" s="1"/>
  <c r="H110" i="14" s="1"/>
  <c r="K111" i="14"/>
  <c r="K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I101" i="14"/>
  <c r="I100" i="14" s="1"/>
  <c r="L100" i="14"/>
  <c r="K100" i="14"/>
  <c r="J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K74" i="14"/>
  <c r="K73" i="14" s="1"/>
  <c r="K72" i="14" s="1"/>
  <c r="K71" i="14" s="1"/>
  <c r="H74" i="14"/>
  <c r="H73" i="14" s="1"/>
  <c r="H72" i="14" s="1"/>
  <c r="H71" i="14" s="1"/>
  <c r="L73" i="14"/>
  <c r="L72" i="14" s="1"/>
  <c r="L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L32" i="14"/>
  <c r="L31" i="14" s="1"/>
  <c r="L30" i="14" s="1"/>
  <c r="L29" i="14" s="1"/>
  <c r="L28" i="14" s="1"/>
  <c r="K32" i="14"/>
  <c r="J32" i="14"/>
  <c r="J31" i="14" s="1"/>
  <c r="J30" i="14" s="1"/>
  <c r="I32" i="14"/>
  <c r="I31" i="14" s="1"/>
  <c r="I30" i="14" s="1"/>
  <c r="H32" i="14"/>
  <c r="H31" i="14" s="1"/>
  <c r="H30" i="14" s="1"/>
  <c r="K31" i="14"/>
  <c r="K30" i="14" s="1"/>
  <c r="K29" i="14" s="1"/>
  <c r="K28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P488" i="13"/>
  <c r="O488" i="13"/>
  <c r="N488" i="13"/>
  <c r="J488" i="13"/>
  <c r="N487" i="13"/>
  <c r="J487" i="13"/>
  <c r="J486" i="13" s="1"/>
  <c r="J485" i="13" s="1"/>
  <c r="P486" i="13"/>
  <c r="O486" i="13"/>
  <c r="N486" i="13"/>
  <c r="M485" i="13"/>
  <c r="L485" i="13"/>
  <c r="P483" i="13"/>
  <c r="O483" i="13"/>
  <c r="O482" i="13" s="1"/>
  <c r="N483" i="13"/>
  <c r="J483" i="13"/>
  <c r="P482" i="13"/>
  <c r="N482" i="13"/>
  <c r="J482" i="13"/>
  <c r="J478" i="13"/>
  <c r="P477" i="13"/>
  <c r="O477" i="13"/>
  <c r="N477" i="13"/>
  <c r="J477" i="13"/>
  <c r="J476" i="13"/>
  <c r="P475" i="13"/>
  <c r="O475" i="13"/>
  <c r="N475" i="13"/>
  <c r="J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P461" i="13"/>
  <c r="O461" i="13"/>
  <c r="N461" i="13"/>
  <c r="J461" i="13"/>
  <c r="P460" i="13"/>
  <c r="O460" i="13"/>
  <c r="N460" i="13"/>
  <c r="J460" i="13"/>
  <c r="AC458" i="13"/>
  <c r="P458" i="13"/>
  <c r="O458" i="13"/>
  <c r="N458" i="13"/>
  <c r="J458" i="13"/>
  <c r="P457" i="13"/>
  <c r="O457" i="13"/>
  <c r="N457" i="13"/>
  <c r="J457" i="13"/>
  <c r="P455" i="13"/>
  <c r="O455" i="13"/>
  <c r="N455" i="13"/>
  <c r="J455" i="13"/>
  <c r="P454" i="13"/>
  <c r="O454" i="13"/>
  <c r="N454" i="13"/>
  <c r="J454" i="13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P447" i="13"/>
  <c r="O447" i="13"/>
  <c r="O444" i="13" s="1"/>
  <c r="O443" i="13" s="1"/>
  <c r="N447" i="13"/>
  <c r="J447" i="13"/>
  <c r="J444" i="13" s="1"/>
  <c r="J443" i="13" s="1"/>
  <c r="P444" i="13"/>
  <c r="P443" i="13" s="1"/>
  <c r="N444" i="13"/>
  <c r="M444" i="13"/>
  <c r="M443" i="13" s="1"/>
  <c r="L444" i="13"/>
  <c r="L443" i="13" s="1"/>
  <c r="N443" i="13"/>
  <c r="P441" i="13"/>
  <c r="P440" i="13" s="1"/>
  <c r="N441" i="13"/>
  <c r="N440" i="13" s="1"/>
  <c r="J441" i="13"/>
  <c r="J440" i="13" s="1"/>
  <c r="M440" i="13"/>
  <c r="L440" i="13"/>
  <c r="P438" i="13"/>
  <c r="O438" i="13"/>
  <c r="N438" i="13"/>
  <c r="J438" i="13"/>
  <c r="J437" i="13" s="1"/>
  <c r="P437" i="13"/>
  <c r="O437" i="13"/>
  <c r="N437" i="13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P423" i="13"/>
  <c r="O423" i="13"/>
  <c r="N423" i="13"/>
  <c r="J423" i="13"/>
  <c r="J422" i="13" s="1"/>
  <c r="P422" i="13"/>
  <c r="O422" i="13"/>
  <c r="N422" i="13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P408" i="13"/>
  <c r="O408" i="13"/>
  <c r="N408" i="13"/>
  <c r="J408" i="13"/>
  <c r="P406" i="13"/>
  <c r="O406" i="13"/>
  <c r="N406" i="13"/>
  <c r="J406" i="13"/>
  <c r="P404" i="13"/>
  <c r="P403" i="13" s="1"/>
  <c r="O404" i="13"/>
  <c r="O403" i="13" s="1"/>
  <c r="N404" i="13"/>
  <c r="N403" i="13" s="1"/>
  <c r="J404" i="13"/>
  <c r="J403" i="13" s="1"/>
  <c r="M403" i="13"/>
  <c r="L403" i="13"/>
  <c r="L400" i="13" s="1"/>
  <c r="N402" i="13"/>
  <c r="N401" i="13" s="1"/>
  <c r="N400" i="13" s="1"/>
  <c r="J402" i="13"/>
  <c r="J400" i="13" s="1"/>
  <c r="M400" i="13"/>
  <c r="J399" i="13"/>
  <c r="P398" i="13"/>
  <c r="O398" i="13"/>
  <c r="N398" i="13"/>
  <c r="J398" i="13"/>
  <c r="J397" i="13" s="1"/>
  <c r="J396" i="13" s="1"/>
  <c r="J395" i="13" s="1"/>
  <c r="P397" i="13"/>
  <c r="P396" i="13" s="1"/>
  <c r="P395" i="13" s="1"/>
  <c r="O397" i="13"/>
  <c r="O396" i="13" s="1"/>
  <c r="O395" i="13" s="1"/>
  <c r="N397" i="13"/>
  <c r="N396" i="13" s="1"/>
  <c r="N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P383" i="13"/>
  <c r="O383" i="13"/>
  <c r="N383" i="13"/>
  <c r="J383" i="13"/>
  <c r="P381" i="13"/>
  <c r="P380" i="13" s="1"/>
  <c r="O381" i="13"/>
  <c r="O380" i="13" s="1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O374" i="13"/>
  <c r="N374" i="13"/>
  <c r="J374" i="13"/>
  <c r="J373" i="13" s="1"/>
  <c r="P373" i="13"/>
  <c r="O373" i="13"/>
  <c r="N373" i="13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O367" i="13"/>
  <c r="N367" i="13"/>
  <c r="J367" i="13"/>
  <c r="J366" i="13" s="1"/>
  <c r="P366" i="13"/>
  <c r="O366" i="13"/>
  <c r="N366" i="13"/>
  <c r="M366" i="13"/>
  <c r="L366" i="13"/>
  <c r="P364" i="13"/>
  <c r="O364" i="13"/>
  <c r="N364" i="13"/>
  <c r="N363" i="13" s="1"/>
  <c r="N362" i="13" s="1"/>
  <c r="N361" i="13" s="1"/>
  <c r="J364" i="13"/>
  <c r="J363" i="13" s="1"/>
  <c r="J362" i="13" s="1"/>
  <c r="J361" i="13" s="1"/>
  <c r="P363" i="13"/>
  <c r="P362" i="13" s="1"/>
  <c r="P361" i="13" s="1"/>
  <c r="O363" i="13"/>
  <c r="O362" i="13" s="1"/>
  <c r="O361" i="13" s="1"/>
  <c r="M363" i="13"/>
  <c r="L363" i="13"/>
  <c r="P359" i="13"/>
  <c r="O359" i="13"/>
  <c r="N359" i="13"/>
  <c r="J359" i="13"/>
  <c r="P358" i="13"/>
  <c r="O358" i="13"/>
  <c r="N358" i="13"/>
  <c r="J358" i="13"/>
  <c r="P354" i="13"/>
  <c r="P353" i="13" s="1"/>
  <c r="O354" i="13"/>
  <c r="O353" i="13" s="1"/>
  <c r="N354" i="13"/>
  <c r="N353" i="13" s="1"/>
  <c r="J354" i="13"/>
  <c r="J353" i="13" s="1"/>
  <c r="P351" i="13"/>
  <c r="O351" i="13"/>
  <c r="N351" i="13"/>
  <c r="J351" i="13"/>
  <c r="P350" i="13"/>
  <c r="O350" i="13"/>
  <c r="N350" i="13"/>
  <c r="J350" i="13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J338" i="13" s="1"/>
  <c r="J336" i="13" s="1"/>
  <c r="J337" i="13" s="1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O310" i="13"/>
  <c r="N310" i="13"/>
  <c r="J310" i="13"/>
  <c r="J309" i="13" s="1"/>
  <c r="J308" i="13" s="1"/>
  <c r="J307" i="13" s="1"/>
  <c r="P309" i="13"/>
  <c r="P308" i="13" s="1"/>
  <c r="P307" i="13" s="1"/>
  <c r="O309" i="13"/>
  <c r="O308" i="13" s="1"/>
  <c r="O307" i="13" s="1"/>
  <c r="N309" i="13"/>
  <c r="N308" i="13" s="1"/>
  <c r="N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O274" i="13"/>
  <c r="O273" i="13" s="1"/>
  <c r="N274" i="13"/>
  <c r="N273" i="13" s="1"/>
  <c r="J274" i="13"/>
  <c r="J273" i="13" s="1"/>
  <c r="P273" i="13"/>
  <c r="P271" i="13"/>
  <c r="O271" i="13"/>
  <c r="N271" i="13"/>
  <c r="J271" i="13"/>
  <c r="P270" i="13"/>
  <c r="O270" i="13"/>
  <c r="N270" i="13"/>
  <c r="J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O264" i="13"/>
  <c r="N264" i="13"/>
  <c r="J264" i="13"/>
  <c r="J263" i="13" s="1"/>
  <c r="P263" i="13"/>
  <c r="O263" i="13"/>
  <c r="N263" i="13"/>
  <c r="M263" i="13"/>
  <c r="M261" i="13" s="1"/>
  <c r="P262" i="13"/>
  <c r="O262" i="13"/>
  <c r="N262" i="13"/>
  <c r="N261" i="13" s="1"/>
  <c r="N260" i="13" s="1"/>
  <c r="J262" i="13"/>
  <c r="J261" i="13" s="1"/>
  <c r="P261" i="13"/>
  <c r="O261" i="13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O252" i="13"/>
  <c r="N252" i="13"/>
  <c r="J252" i="13"/>
  <c r="J251" i="13" s="1"/>
  <c r="J246" i="13" s="1"/>
  <c r="P251" i="13"/>
  <c r="P250" i="13" s="1"/>
  <c r="O251" i="13"/>
  <c r="O250" i="13" s="1"/>
  <c r="N251" i="13"/>
  <c r="N250" i="13" s="1"/>
  <c r="M251" i="13"/>
  <c r="L251" i="13"/>
  <c r="P248" i="13"/>
  <c r="P247" i="13" s="1"/>
  <c r="O248" i="13"/>
  <c r="O247" i="13" s="1"/>
  <c r="N248" i="13"/>
  <c r="N247" i="13" s="1"/>
  <c r="P244" i="13"/>
  <c r="O244" i="13"/>
  <c r="O243" i="13" s="1"/>
  <c r="O242" i="13" s="1"/>
  <c r="N244" i="13"/>
  <c r="N243" i="13" s="1"/>
  <c r="N242" i="13" s="1"/>
  <c r="J244" i="13"/>
  <c r="J243" i="13" s="1"/>
  <c r="P243" i="13"/>
  <c r="P242" i="13" s="1"/>
  <c r="M243" i="13"/>
  <c r="L243" i="13"/>
  <c r="P237" i="13"/>
  <c r="O237" i="13"/>
  <c r="N237" i="13"/>
  <c r="J237" i="13"/>
  <c r="J236" i="13" s="1"/>
  <c r="P236" i="13"/>
  <c r="P234" i="13" s="1"/>
  <c r="P233" i="13" s="1"/>
  <c r="O236" i="13"/>
  <c r="O235" i="13" s="1"/>
  <c r="N236" i="13"/>
  <c r="N235" i="13" s="1"/>
  <c r="M236" i="13"/>
  <c r="M234" i="13" s="1"/>
  <c r="M233" i="13" s="1"/>
  <c r="L236" i="13"/>
  <c r="L234" i="13" s="1"/>
  <c r="L233" i="13" s="1"/>
  <c r="O234" i="13"/>
  <c r="O233" i="13" s="1"/>
  <c r="N234" i="13"/>
  <c r="N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N221" i="13"/>
  <c r="J221" i="13"/>
  <c r="J220" i="13" s="1"/>
  <c r="O220" i="13"/>
  <c r="O219" i="13" s="1"/>
  <c r="O216" i="13" s="1"/>
  <c r="N220" i="13"/>
  <c r="N219" i="13" s="1"/>
  <c r="N216" i="13" s="1"/>
  <c r="M220" i="13"/>
  <c r="M216" i="13" s="1"/>
  <c r="L220" i="13"/>
  <c r="L216" i="13" s="1"/>
  <c r="P208" i="13"/>
  <c r="O208" i="13"/>
  <c r="N208" i="13"/>
  <c r="J208" i="13"/>
  <c r="J206" i="13" s="1"/>
  <c r="J204" i="13" s="1"/>
  <c r="P207" i="13"/>
  <c r="O207" i="13"/>
  <c r="N207" i="13"/>
  <c r="J207" i="13"/>
  <c r="P206" i="13"/>
  <c r="P204" i="13" s="1"/>
  <c r="O206" i="13"/>
  <c r="O204" i="13" s="1"/>
  <c r="N206" i="13"/>
  <c r="N204" i="13" s="1"/>
  <c r="M206" i="13"/>
  <c r="M204" i="13" s="1"/>
  <c r="L206" i="13"/>
  <c r="L204" i="13" s="1"/>
  <c r="P202" i="13"/>
  <c r="P200" i="13" s="1"/>
  <c r="P199" i="13" s="1"/>
  <c r="O202" i="13"/>
  <c r="N202" i="13"/>
  <c r="N200" i="13" s="1"/>
  <c r="N199" i="13" s="1"/>
  <c r="J202" i="13"/>
  <c r="J200" i="13" s="1"/>
  <c r="J199" i="13" s="1"/>
  <c r="P201" i="13"/>
  <c r="O201" i="13"/>
  <c r="N201" i="13"/>
  <c r="J201" i="13"/>
  <c r="O200" i="13"/>
  <c r="O199" i="13" s="1"/>
  <c r="L200" i="13"/>
  <c r="L199" i="13" s="1"/>
  <c r="M199" i="13"/>
  <c r="P196" i="13"/>
  <c r="O196" i="13"/>
  <c r="N196" i="13"/>
  <c r="J196" i="13"/>
  <c r="J195" i="13" s="1"/>
  <c r="J194" i="13" s="1"/>
  <c r="P195" i="13"/>
  <c r="P194" i="13" s="1"/>
  <c r="O195" i="13"/>
  <c r="O194" i="13" s="1"/>
  <c r="N195" i="13"/>
  <c r="N194" i="13" s="1"/>
  <c r="M195" i="13"/>
  <c r="M194" i="13" s="1"/>
  <c r="L195" i="13"/>
  <c r="L194" i="13" s="1"/>
  <c r="P183" i="13"/>
  <c r="P182" i="13" s="1"/>
  <c r="O183" i="13"/>
  <c r="N183" i="13"/>
  <c r="L183" i="13"/>
  <c r="L182" i="13" s="1"/>
  <c r="J183" i="13"/>
  <c r="O182" i="13"/>
  <c r="N182" i="13"/>
  <c r="M182" i="13"/>
  <c r="J182" i="13"/>
  <c r="P179" i="13"/>
  <c r="P178" i="13" s="1"/>
  <c r="O179" i="13"/>
  <c r="O178" i="13" s="1"/>
  <c r="N179" i="13"/>
  <c r="N178" i="13" s="1"/>
  <c r="M179" i="13"/>
  <c r="M178" i="13" s="1"/>
  <c r="M175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O158" i="13"/>
  <c r="O156" i="13" s="1"/>
  <c r="O155" i="13" s="1"/>
  <c r="O154" i="13" s="1"/>
  <c r="O153" i="13" s="1"/>
  <c r="N158" i="13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P156" i="13"/>
  <c r="P155" i="13" s="1"/>
  <c r="P154" i="13" s="1"/>
  <c r="P153" i="13" s="1"/>
  <c r="N156" i="13"/>
  <c r="N155" i="13" s="1"/>
  <c r="N154" i="13" s="1"/>
  <c r="N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M147" i="13"/>
  <c r="M146" i="13" s="1"/>
  <c r="M145" i="13" s="1"/>
  <c r="M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N136" i="13"/>
  <c r="N135" i="13" s="1"/>
  <c r="J136" i="13"/>
  <c r="J135" i="13" s="1"/>
  <c r="O135" i="13"/>
  <c r="M135" i="13"/>
  <c r="L135" i="13"/>
  <c r="P132" i="13"/>
  <c r="P131" i="13" s="1"/>
  <c r="O132" i="13"/>
  <c r="O131" i="13" s="1"/>
  <c r="N132" i="13"/>
  <c r="M132" i="13"/>
  <c r="L132" i="13"/>
  <c r="L131" i="13" s="1"/>
  <c r="J132" i="13"/>
  <c r="J131" i="13" s="1"/>
  <c r="N131" i="13"/>
  <c r="M131" i="13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M91" i="13"/>
  <c r="L91" i="13"/>
  <c r="L90" i="13" s="1"/>
  <c r="J91" i="13"/>
  <c r="J90" i="13" s="1"/>
  <c r="N90" i="13"/>
  <c r="M90" i="13"/>
  <c r="P88" i="13"/>
  <c r="P87" i="13" s="1"/>
  <c r="P86" i="13" s="1"/>
  <c r="P85" i="13" s="1"/>
  <c r="P84" i="13" s="1"/>
  <c r="O88" i="13"/>
  <c r="O87" i="13" s="1"/>
  <c r="O86" i="13" s="1"/>
  <c r="O85" i="13" s="1"/>
  <c r="O84" i="13" s="1"/>
  <c r="N88" i="13"/>
  <c r="N87" i="13" s="1"/>
  <c r="N86" i="13" s="1"/>
  <c r="N85" i="13" s="1"/>
  <c r="N84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L57" i="13"/>
  <c r="J57" i="13"/>
  <c r="J56" i="13" s="1"/>
  <c r="J55" i="13" s="1"/>
  <c r="M56" i="13"/>
  <c r="M55" i="13" s="1"/>
  <c r="L56" i="13"/>
  <c r="L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O27" i="13"/>
  <c r="O26" i="13" s="1"/>
  <c r="O25" i="13" s="1"/>
  <c r="N27" i="13"/>
  <c r="N26" i="13" s="1"/>
  <c r="N25" i="13" s="1"/>
  <c r="J27" i="13"/>
  <c r="J26" i="13" s="1"/>
  <c r="J25" i="13" s="1"/>
  <c r="P26" i="13"/>
  <c r="P25" i="13" s="1"/>
  <c r="K70" i="14" l="1"/>
  <c r="J142" i="14"/>
  <c r="J380" i="13"/>
  <c r="J329" i="13" s="1"/>
  <c r="J335" i="13" s="1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I257" i="14"/>
  <c r="L124" i="14"/>
  <c r="H161" i="14"/>
  <c r="H160" i="14" s="1"/>
  <c r="H159" i="14" s="1"/>
  <c r="H154" i="14" s="1"/>
  <c r="J72" i="13"/>
  <c r="O98" i="13"/>
  <c r="J112" i="13"/>
  <c r="J106" i="13" s="1"/>
  <c r="O112" i="13"/>
  <c r="O106" i="13" s="1"/>
  <c r="H257" i="14"/>
  <c r="L257" i="14"/>
  <c r="M290" i="13"/>
  <c r="O260" i="13"/>
  <c r="P226" i="13"/>
  <c r="P112" i="13"/>
  <c r="P106" i="13" s="1"/>
  <c r="P134" i="13"/>
  <c r="N291" i="13"/>
  <c r="N290" i="13" s="1"/>
  <c r="P329" i="13"/>
  <c r="P335" i="13" s="1"/>
  <c r="J474" i="13"/>
  <c r="N175" i="13"/>
  <c r="N173" i="13" s="1"/>
  <c r="N226" i="13"/>
  <c r="N224" i="13" s="1"/>
  <c r="P152" i="13"/>
  <c r="L336" i="13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N485" i="13"/>
  <c r="O474" i="13"/>
  <c r="K309" i="14"/>
  <c r="K308" i="14" s="1"/>
  <c r="J161" i="14"/>
  <c r="J160" i="14" s="1"/>
  <c r="J159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K98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L48" i="14"/>
  <c r="L47" i="14" s="1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P117" i="13"/>
  <c r="M134" i="13"/>
  <c r="J134" i="13"/>
  <c r="J130" i="13" s="1"/>
  <c r="L152" i="13"/>
  <c r="M191" i="13"/>
  <c r="L241" i="13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288" i="14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J154" i="14"/>
  <c r="K217" i="14"/>
  <c r="J217" i="14"/>
  <c r="K227" i="14"/>
  <c r="K226" i="14" s="1"/>
  <c r="K225" i="14" s="1"/>
  <c r="K224" i="14" s="1"/>
  <c r="J297" i="14"/>
  <c r="H48" i="14"/>
  <c r="H47" i="14" s="1"/>
  <c r="H122" i="14"/>
  <c r="H121" i="14" s="1"/>
  <c r="I142" i="14"/>
  <c r="I138" i="14" s="1"/>
  <c r="I137" i="14" s="1"/>
  <c r="I121" i="14" s="1"/>
  <c r="K142" i="14"/>
  <c r="K138" i="14" s="1"/>
  <c r="K137" i="14" s="1"/>
  <c r="I191" i="14"/>
  <c r="I190" i="14" s="1"/>
  <c r="H288" i="14"/>
  <c r="L288" i="14"/>
  <c r="L287" i="14" s="1"/>
  <c r="L286" i="14" s="1"/>
  <c r="L277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J98" i="13"/>
  <c r="N112" i="13"/>
  <c r="N106" i="13" s="1"/>
  <c r="L112" i="13"/>
  <c r="L106" i="13" s="1"/>
  <c r="O117" i="13"/>
  <c r="L134" i="13"/>
  <c r="J226" i="13"/>
  <c r="J225" i="13" s="1"/>
  <c r="P235" i="13"/>
  <c r="M241" i="13"/>
  <c r="N380" i="13"/>
  <c r="O402" i="13"/>
  <c r="O401" i="13" s="1"/>
  <c r="O400" i="13" s="1"/>
  <c r="J117" i="13"/>
  <c r="O166" i="13"/>
  <c r="P191" i="13"/>
  <c r="M215" i="13"/>
  <c r="J240" i="13"/>
  <c r="N246" i="13"/>
  <c r="L240" i="13"/>
  <c r="P300" i="13"/>
  <c r="P299" i="13" s="1"/>
  <c r="M336" i="13"/>
  <c r="M329" i="13" s="1"/>
  <c r="M328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O93" i="13"/>
  <c r="O83" i="13" s="1"/>
  <c r="L98" i="13"/>
  <c r="P98" i="13"/>
  <c r="P93" i="13" s="1"/>
  <c r="P83" i="13" s="1"/>
  <c r="N117" i="13"/>
  <c r="M130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J93" i="13"/>
  <c r="J83" i="13" s="1"/>
  <c r="L130" i="13"/>
  <c r="P130" i="13"/>
  <c r="O152" i="13"/>
  <c r="M240" i="13"/>
  <c r="O291" i="13"/>
  <c r="O290" i="13" s="1"/>
  <c r="J173" i="13"/>
  <c r="N335" i="13"/>
  <c r="N328" i="13"/>
  <c r="N152" i="13"/>
  <c r="M173" i="13"/>
  <c r="M174" i="13"/>
  <c r="J216" i="13"/>
  <c r="J219" i="13"/>
  <c r="P224" i="13"/>
  <c r="P223" i="13" s="1"/>
  <c r="P225" i="13"/>
  <c r="J291" i="13"/>
  <c r="J290" i="13" s="1"/>
  <c r="L32" i="13"/>
  <c r="L31" i="13" s="1"/>
  <c r="L30" i="13" s="1"/>
  <c r="M36" i="13"/>
  <c r="M35" i="13" s="1"/>
  <c r="L71" i="13"/>
  <c r="L70" i="13" s="1"/>
  <c r="L69" i="13" s="1"/>
  <c r="J31" i="13"/>
  <c r="J30" i="13" s="1"/>
  <c r="J21" i="13" s="1"/>
  <c r="O31" i="13"/>
  <c r="O30" i="13" s="1"/>
  <c r="O21" i="13" s="1"/>
  <c r="M93" i="13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329" i="13"/>
  <c r="N241" i="13"/>
  <c r="N240" i="13" s="1"/>
  <c r="L260" i="13"/>
  <c r="J410" i="13"/>
  <c r="J415" i="13" s="1"/>
  <c r="J414" i="13" s="1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L93" i="13"/>
  <c r="N98" i="13"/>
  <c r="N93" i="13" s="1"/>
  <c r="N8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H46" i="14" s="1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184" i="14"/>
  <c r="I179" i="14" s="1"/>
  <c r="I262" i="14"/>
  <c r="L309" i="14"/>
  <c r="L308" i="14" s="1"/>
  <c r="M32" i="13"/>
  <c r="M31" i="13" s="1"/>
  <c r="M30" i="13" s="1"/>
  <c r="J71" i="13"/>
  <c r="J70" i="13" s="1"/>
  <c r="J69" i="13" s="1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N223" i="13" l="1"/>
  <c r="N215" i="13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N20" i="13" s="1"/>
  <c r="N11" i="13" s="1"/>
  <c r="J328" i="13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H120" i="14"/>
  <c r="L328" i="13"/>
  <c r="N190" i="13"/>
  <c r="N189" i="13" s="1"/>
  <c r="L21" i="13"/>
  <c r="L105" i="13"/>
  <c r="J105" i="13"/>
  <c r="J20" i="13" s="1"/>
  <c r="J11" i="13" s="1"/>
  <c r="M105" i="13"/>
  <c r="M20" i="13" s="1"/>
  <c r="M12" i="13" s="1"/>
  <c r="L83" i="13"/>
  <c r="O20" i="13"/>
  <c r="O11" i="13" s="1"/>
  <c r="P215" i="13"/>
  <c r="H20" i="14"/>
  <c r="H19" i="14"/>
  <c r="K21" i="14"/>
  <c r="O215" i="13"/>
  <c r="O223" i="13"/>
  <c r="P174" i="13"/>
  <c r="P173" i="13"/>
  <c r="P20" i="13" s="1"/>
  <c r="P11" i="13" s="1"/>
  <c r="J233" i="13"/>
  <c r="J215" i="13"/>
  <c r="J190" i="13" s="1"/>
  <c r="L174" i="13"/>
  <c r="L173" i="13"/>
  <c r="J189" i="13" l="1"/>
  <c r="L20" i="14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18" i="14"/>
  <c r="O12" i="14" s="1"/>
  <c r="L45" i="14"/>
  <c r="L20" i="13"/>
  <c r="L12" i="13" s="1"/>
  <c r="K19" i="14"/>
  <c r="R15" i="13" l="1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O539" i="11"/>
  <c r="N539" i="11"/>
  <c r="J539" i="11"/>
  <c r="P538" i="11"/>
  <c r="O538" i="11"/>
  <c r="N538" i="11"/>
  <c r="J538" i="1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P517" i="11"/>
  <c r="O517" i="11"/>
  <c r="N517" i="11"/>
  <c r="J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O483" i="11"/>
  <c r="O480" i="11" s="1"/>
  <c r="O479" i="11" s="1"/>
  <c r="N483" i="11"/>
  <c r="N480" i="11" s="1"/>
  <c r="N479" i="11" s="1"/>
  <c r="J483" i="11"/>
  <c r="J480" i="11" s="1"/>
  <c r="J479" i="11" s="1"/>
  <c r="P480" i="11"/>
  <c r="P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J462" i="11"/>
  <c r="J461" i="11" s="1"/>
  <c r="P461" i="11"/>
  <c r="O461" i="11"/>
  <c r="N461" i="11"/>
  <c r="M461" i="11"/>
  <c r="L461" i="11"/>
  <c r="P455" i="11"/>
  <c r="O455" i="11"/>
  <c r="N455" i="11"/>
  <c r="J455" i="11"/>
  <c r="J451" i="11"/>
  <c r="P450" i="11"/>
  <c r="O450" i="11"/>
  <c r="O449" i="11" s="1"/>
  <c r="N450" i="11"/>
  <c r="N449" i="11" s="1"/>
  <c r="J450" i="11"/>
  <c r="J449" i="11" s="1"/>
  <c r="P449" i="1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J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P410" i="11"/>
  <c r="O410" i="11"/>
  <c r="N410" i="11"/>
  <c r="J410" i="11"/>
  <c r="N408" i="11"/>
  <c r="M409" i="11"/>
  <c r="L409" i="11"/>
  <c r="J409" i="11"/>
  <c r="J408" i="11" s="1"/>
  <c r="J407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O401" i="11"/>
  <c r="N401" i="11"/>
  <c r="N400" i="11" s="1"/>
  <c r="J401" i="11"/>
  <c r="J400" i="11" s="1"/>
  <c r="P400" i="11"/>
  <c r="O400" i="11"/>
  <c r="M400" i="11"/>
  <c r="L400" i="11"/>
  <c r="P398" i="11"/>
  <c r="O398" i="11"/>
  <c r="N398" i="11"/>
  <c r="N396" i="11" s="1"/>
  <c r="J398" i="11"/>
  <c r="J396" i="11" s="1"/>
  <c r="P396" i="11"/>
  <c r="O396" i="1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O386" i="11"/>
  <c r="N386" i="11"/>
  <c r="J386" i="11"/>
  <c r="P385" i="11"/>
  <c r="O385" i="11"/>
  <c r="N385" i="11"/>
  <c r="J385" i="11"/>
  <c r="P381" i="11"/>
  <c r="O381" i="11"/>
  <c r="O380" i="11" s="1"/>
  <c r="N381" i="11"/>
  <c r="N380" i="11" s="1"/>
  <c r="J381" i="11"/>
  <c r="J380" i="11" s="1"/>
  <c r="P380" i="1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J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O277" i="11"/>
  <c r="N277" i="11"/>
  <c r="J277" i="11"/>
  <c r="P276" i="11"/>
  <c r="O276" i="11"/>
  <c r="N276" i="11"/>
  <c r="J276" i="1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O255" i="11"/>
  <c r="O254" i="11" s="1"/>
  <c r="O253" i="11" s="1"/>
  <c r="N255" i="11"/>
  <c r="N254" i="11" s="1"/>
  <c r="J255" i="11"/>
  <c r="J254" i="11" s="1"/>
  <c r="J249" i="11" s="1"/>
  <c r="P254" i="11"/>
  <c r="P253" i="11" s="1"/>
  <c r="M254" i="11"/>
  <c r="L254" i="11"/>
  <c r="P251" i="11"/>
  <c r="P250" i="11" s="1"/>
  <c r="O251" i="11"/>
  <c r="O250" i="11" s="1"/>
  <c r="N251" i="11"/>
  <c r="N250" i="11" s="1"/>
  <c r="N249" i="11" s="1"/>
  <c r="P247" i="11"/>
  <c r="O247" i="11"/>
  <c r="N247" i="11"/>
  <c r="N246" i="11" s="1"/>
  <c r="N245" i="11" s="1"/>
  <c r="J247" i="11"/>
  <c r="J246" i="11" s="1"/>
  <c r="P246" i="11"/>
  <c r="P245" i="11" s="1"/>
  <c r="O246" i="11"/>
  <c r="O245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O202" i="11"/>
  <c r="N202" i="11"/>
  <c r="J202" i="11"/>
  <c r="J200" i="11" s="1"/>
  <c r="J199" i="11" s="1"/>
  <c r="P201" i="11"/>
  <c r="O201" i="11"/>
  <c r="N201" i="11"/>
  <c r="J201" i="11"/>
  <c r="P200" i="11"/>
  <c r="P199" i="11" s="1"/>
  <c r="O200" i="11"/>
  <c r="O199" i="11" s="1"/>
  <c r="N200" i="11"/>
  <c r="N199" i="11" s="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M179" i="11"/>
  <c r="M178" i="11" s="1"/>
  <c r="L179" i="11"/>
  <c r="L178" i="11" s="1"/>
  <c r="J179" i="11"/>
  <c r="J178" i="11" s="1"/>
  <c r="N178" i="1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N158" i="1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O156" i="11"/>
  <c r="O155" i="11" s="1"/>
  <c r="O154" i="11" s="1"/>
  <c r="O153" i="11" s="1"/>
  <c r="N156" i="11"/>
  <c r="N155" i="11" s="1"/>
  <c r="N154" i="11" s="1"/>
  <c r="N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J134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J78" i="11"/>
  <c r="J77" i="11" s="1"/>
  <c r="L77" i="1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M46" i="11"/>
  <c r="M45" i="11" s="1"/>
  <c r="L46" i="11"/>
  <c r="L45" i="11" s="1"/>
  <c r="J46" i="11"/>
  <c r="J45" i="11" s="1"/>
  <c r="N45" i="1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M244" i="11" l="1"/>
  <c r="N226" i="11"/>
  <c r="N225" i="11" s="1"/>
  <c r="N224" i="11" s="1"/>
  <c r="H154" i="12"/>
  <c r="H153" i="12" s="1"/>
  <c r="I342" i="12"/>
  <c r="I338" i="12" s="1"/>
  <c r="I337" i="12" s="1"/>
  <c r="I336" i="12" s="1"/>
  <c r="I327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O98" i="11"/>
  <c r="H369" i="12"/>
  <c r="H368" i="12" s="1"/>
  <c r="H367" i="12" s="1"/>
  <c r="H366" i="12" s="1"/>
  <c r="H365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M243" i="11"/>
  <c r="P516" i="11"/>
  <c r="N191" i="11"/>
  <c r="L152" i="11"/>
  <c r="N85" i="11"/>
  <c r="N84" i="11" s="1"/>
  <c r="J120" i="12"/>
  <c r="J119" i="12" s="1"/>
  <c r="H146" i="12"/>
  <c r="H145" i="12" s="1"/>
  <c r="H144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337" i="12" s="1"/>
  <c r="J336" i="12" s="1"/>
  <c r="J327" i="12" s="1"/>
  <c r="J175" i="11"/>
  <c r="J173" i="11" s="1"/>
  <c r="P152" i="11"/>
  <c r="M175" i="11"/>
  <c r="M173" i="11" s="1"/>
  <c r="O485" i="11"/>
  <c r="N516" i="11"/>
  <c r="M72" i="11"/>
  <c r="O72" i="11"/>
  <c r="P85" i="11"/>
  <c r="P84" i="11" s="1"/>
  <c r="P98" i="11"/>
  <c r="P93" i="11" s="1"/>
  <c r="O175" i="11"/>
  <c r="O173" i="11" s="1"/>
  <c r="P207" i="11"/>
  <c r="J225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O93" i="1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N98" i="11"/>
  <c r="N93" i="11" s="1"/>
  <c r="N8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J358" i="11"/>
  <c r="J351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M27" i="11"/>
  <c r="M26" i="11" s="1"/>
  <c r="M25" i="11" s="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M83" i="11" s="1"/>
  <c r="N112" i="11"/>
  <c r="N106" i="11" s="1"/>
  <c r="L112" i="11"/>
  <c r="L106" i="11" s="1"/>
  <c r="M134" i="1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O71" i="11"/>
  <c r="O70" i="11" s="1"/>
  <c r="O69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H242" i="12"/>
  <c r="H241" i="12" s="1"/>
  <c r="I364" i="12"/>
  <c r="I363" i="12" s="1"/>
  <c r="H120" i="12"/>
  <c r="H119" i="12" s="1"/>
  <c r="J132" i="12"/>
  <c r="J131" i="12" s="1"/>
  <c r="J118" i="12" s="1"/>
  <c r="J117" i="12" s="1"/>
  <c r="J116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H252" i="12" s="1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H364" i="12"/>
  <c r="H363" i="12" s="1"/>
  <c r="M31" i="11"/>
  <c r="M30" i="11" s="1"/>
  <c r="P117" i="11"/>
  <c r="J93" i="11"/>
  <c r="J83" i="11" s="1"/>
  <c r="J117" i="11"/>
  <c r="M130" i="11"/>
  <c r="O152" i="11"/>
  <c r="J152" i="11"/>
  <c r="N166" i="11"/>
  <c r="J174" i="11"/>
  <c r="L175" i="11"/>
  <c r="J191" i="11"/>
  <c r="N207" i="11"/>
  <c r="N206" i="11"/>
  <c r="N204" i="11" s="1"/>
  <c r="M152" i="11"/>
  <c r="J166" i="11"/>
  <c r="O166" i="11"/>
  <c r="L32" i="11"/>
  <c r="L31" i="11" s="1"/>
  <c r="L30" i="11" s="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J359" i="1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I118" i="12" l="1"/>
  <c r="I117" i="12" s="1"/>
  <c r="I116" i="12" s="1"/>
  <c r="I252" i="12"/>
  <c r="I247" i="12" s="1"/>
  <c r="I240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21" i="11"/>
  <c r="L190" i="11"/>
  <c r="J252" i="12"/>
  <c r="J247" i="12" s="1"/>
  <c r="J240" i="12" s="1"/>
  <c r="J191" i="12" s="1"/>
  <c r="J142" i="12"/>
  <c r="I54" i="12"/>
  <c r="H21" i="12"/>
  <c r="H247" i="12"/>
  <c r="I191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I20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P20" i="11" l="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J499" i="5" s="1"/>
  <c r="M499" i="5"/>
  <c r="L499" i="5"/>
  <c r="N338" i="5"/>
  <c r="N337" i="5" s="1"/>
  <c r="N336" i="5" s="1"/>
  <c r="N335" i="5" s="1"/>
  <c r="N499" i="5" l="1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P102" i="6"/>
  <c r="K102" i="6"/>
  <c r="P100" i="6"/>
  <c r="R98" i="6"/>
  <c r="P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J517" i="5"/>
  <c r="J516" i="5" s="1"/>
  <c r="O516" i="5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J494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P475" i="5"/>
  <c r="O475" i="5"/>
  <c r="N475" i="5"/>
  <c r="J475" i="5"/>
  <c r="J474" i="5" s="1"/>
  <c r="P474" i="5"/>
  <c r="O474" i="5"/>
  <c r="N474" i="5"/>
  <c r="AC472" i="5"/>
  <c r="P472" i="5"/>
  <c r="O472" i="5"/>
  <c r="N472" i="5"/>
  <c r="J472" i="5"/>
  <c r="J471" i="5" s="1"/>
  <c r="P471" i="5"/>
  <c r="O471" i="5"/>
  <c r="N471" i="5"/>
  <c r="P469" i="5"/>
  <c r="O469" i="5"/>
  <c r="O468" i="5" s="1"/>
  <c r="N469" i="5"/>
  <c r="N468" i="5" s="1"/>
  <c r="J469" i="5"/>
  <c r="J468" i="5" s="1"/>
  <c r="P468" i="5"/>
  <c r="P466" i="5"/>
  <c r="O466" i="5"/>
  <c r="N466" i="5"/>
  <c r="N463" i="5" s="1"/>
  <c r="M466" i="5"/>
  <c r="L466" i="5"/>
  <c r="K466" i="5"/>
  <c r="J466" i="5"/>
  <c r="J463" i="5" s="1"/>
  <c r="P464" i="5"/>
  <c r="O464" i="5"/>
  <c r="N464" i="5"/>
  <c r="J462" i="5"/>
  <c r="P461" i="5"/>
  <c r="O461" i="5"/>
  <c r="O458" i="5" s="1"/>
  <c r="O457" i="5" s="1"/>
  <c r="N461" i="5"/>
  <c r="N458" i="5" s="1"/>
  <c r="N457" i="5" s="1"/>
  <c r="J461" i="5"/>
  <c r="J458" i="5" s="1"/>
  <c r="J457" i="5" s="1"/>
  <c r="P458" i="5"/>
  <c r="P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O443" i="5"/>
  <c r="O442" i="5" s="1"/>
  <c r="N443" i="5"/>
  <c r="N442" i="5" s="1"/>
  <c r="J443" i="5"/>
  <c r="J442" i="5" s="1"/>
  <c r="P442" i="5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P428" i="5"/>
  <c r="O428" i="5"/>
  <c r="O427" i="5" s="1"/>
  <c r="N428" i="5"/>
  <c r="N427" i="5" s="1"/>
  <c r="J428" i="5"/>
  <c r="J427" i="5" s="1"/>
  <c r="P427" i="5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J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M392" i="5"/>
  <c r="M391" i="5" s="1"/>
  <c r="M390" i="5" s="1"/>
  <c r="L392" i="5"/>
  <c r="L391" i="5" s="1"/>
  <c r="L390" i="5" s="1"/>
  <c r="J392" i="5"/>
  <c r="J391" i="5" s="1"/>
  <c r="J390" i="5" s="1"/>
  <c r="J389" i="5"/>
  <c r="P388" i="5"/>
  <c r="P385" i="5" s="1"/>
  <c r="O388" i="5"/>
  <c r="N388" i="5"/>
  <c r="N385" i="5" s="1"/>
  <c r="J388" i="5"/>
  <c r="M387" i="5"/>
  <c r="L387" i="5"/>
  <c r="J387" i="5"/>
  <c r="J386" i="5" s="1"/>
  <c r="J385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O376" i="5"/>
  <c r="N376" i="5"/>
  <c r="J376" i="5"/>
  <c r="J374" i="5" s="1"/>
  <c r="P374" i="5"/>
  <c r="O374" i="5"/>
  <c r="N374" i="5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P368" i="5"/>
  <c r="P367" i="5" s="1"/>
  <c r="P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N287" i="5"/>
  <c r="J287" i="5"/>
  <c r="J286" i="5" s="1"/>
  <c r="J285" i="5" s="1"/>
  <c r="J284" i="5" s="1"/>
  <c r="P286" i="5"/>
  <c r="P285" i="5" s="1"/>
  <c r="P284" i="5" s="1"/>
  <c r="O286" i="5"/>
  <c r="O285" i="5" s="1"/>
  <c r="O284" i="5" s="1"/>
  <c r="N286" i="5"/>
  <c r="N285" i="5" s="1"/>
  <c r="N284" i="5" s="1"/>
  <c r="M286" i="5"/>
  <c r="M284" i="5" s="1"/>
  <c r="L286" i="5"/>
  <c r="L284" i="5" s="1"/>
  <c r="P282" i="5"/>
  <c r="P281" i="5" s="1"/>
  <c r="P277" i="5" s="1"/>
  <c r="O282" i="5"/>
  <c r="N282" i="5"/>
  <c r="N281" i="5" s="1"/>
  <c r="N277" i="5" s="1"/>
  <c r="J282" i="5"/>
  <c r="J281" i="5" s="1"/>
  <c r="J277" i="5" s="1"/>
  <c r="J276" i="5" s="1"/>
  <c r="O281" i="5"/>
  <c r="O277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N267" i="5"/>
  <c r="N266" i="5" s="1"/>
  <c r="L267" i="5"/>
  <c r="J267" i="5"/>
  <c r="J266" i="5" s="1"/>
  <c r="O266" i="5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O244" i="5"/>
  <c r="O243" i="5" s="1"/>
  <c r="O242" i="5" s="1"/>
  <c r="N244" i="5"/>
  <c r="N243" i="5" s="1"/>
  <c r="N242" i="5" s="1"/>
  <c r="J244" i="5"/>
  <c r="J243" i="5" s="1"/>
  <c r="P243" i="5"/>
  <c r="P242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N202" i="5"/>
  <c r="N200" i="5" s="1"/>
  <c r="N199" i="5" s="1"/>
  <c r="J202" i="5"/>
  <c r="J200" i="5" s="1"/>
  <c r="J199" i="5" s="1"/>
  <c r="P201" i="5"/>
  <c r="O201" i="5"/>
  <c r="N201" i="5"/>
  <c r="J201" i="5"/>
  <c r="O200" i="5"/>
  <c r="O199" i="5" s="1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M175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M147" i="5"/>
  <c r="M146" i="5" s="1"/>
  <c r="M145" i="5" s="1"/>
  <c r="M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O136" i="5"/>
  <c r="O135" i="5" s="1"/>
  <c r="N136" i="5"/>
  <c r="N135" i="5" s="1"/>
  <c r="J136" i="5"/>
  <c r="J135" i="5" s="1"/>
  <c r="P135" i="5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P112" i="5" s="1"/>
  <c r="P106" i="5" s="1"/>
  <c r="O115" i="5"/>
  <c r="N115" i="5"/>
  <c r="M115" i="5"/>
  <c r="L115" i="5"/>
  <c r="J115" i="5"/>
  <c r="P113" i="5"/>
  <c r="O113" i="5"/>
  <c r="O112" i="5" s="1"/>
  <c r="O106" i="5" s="1"/>
  <c r="N113" i="5"/>
  <c r="N112" i="5" s="1"/>
  <c r="N106" i="5" s="1"/>
  <c r="M113" i="5"/>
  <c r="L113" i="5"/>
  <c r="J113" i="5"/>
  <c r="J112" i="5" s="1"/>
  <c r="J106" i="5" s="1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L98" i="5" s="1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P72" i="5" s="1"/>
  <c r="O73" i="5"/>
  <c r="N73" i="5"/>
  <c r="M73" i="5"/>
  <c r="L73" i="5"/>
  <c r="L72" i="5" s="1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M57" i="5"/>
  <c r="M56" i="5" s="1"/>
  <c r="M55" i="5" s="1"/>
  <c r="L57" i="5"/>
  <c r="L56" i="5" s="1"/>
  <c r="L55" i="5" s="1"/>
  <c r="J57" i="5"/>
  <c r="J56" i="5" s="1"/>
  <c r="J55" i="5" s="1"/>
  <c r="N56" i="5"/>
  <c r="N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O98" i="5"/>
  <c r="P134" i="5"/>
  <c r="L341" i="5"/>
  <c r="P463" i="5"/>
  <c r="M290" i="5"/>
  <c r="O494" i="5"/>
  <c r="K28" i="9"/>
  <c r="I27" i="9"/>
  <c r="L32" i="5"/>
  <c r="N98" i="5"/>
  <c r="M34" i="5"/>
  <c r="O463" i="5"/>
  <c r="M72" i="5"/>
  <c r="M71" i="5" s="1"/>
  <c r="M70" i="5" s="1"/>
  <c r="M69" i="5" s="1"/>
  <c r="M98" i="5"/>
  <c r="J98" i="5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32" i="2" s="1"/>
  <c r="L131" i="2" s="1"/>
  <c r="L122" i="2" s="1"/>
  <c r="L121" i="2" s="1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L172" i="2" s="1"/>
  <c r="L171" i="2" s="1"/>
  <c r="L170" i="2" s="1"/>
  <c r="L169" i="2" s="1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H201" i="2" s="1"/>
  <c r="H200" i="2" s="1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I217" i="2" s="1"/>
  <c r="J222" i="2"/>
  <c r="L222" i="2"/>
  <c r="L217" i="2" s="1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M72" i="1" s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P98" i="1" s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J112" i="1" s="1"/>
  <c r="J106" i="1" s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J226" i="1" s="1"/>
  <c r="J225" i="1" s="1"/>
  <c r="N227" i="1"/>
  <c r="J229" i="1"/>
  <c r="L229" i="1"/>
  <c r="L226" i="1" s="1"/>
  <c r="L224" i="1" s="1"/>
  <c r="L223" i="1" s="1"/>
  <c r="N229" i="1"/>
  <c r="N226" i="1" s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J391" i="1"/>
  <c r="J389" i="1" s="1"/>
  <c r="O112" i="1"/>
  <c r="O106" i="1" s="1"/>
  <c r="J72" i="1"/>
  <c r="O31" i="1"/>
  <c r="O30" i="1" s="1"/>
  <c r="H161" i="2"/>
  <c r="H160" i="2" s="1"/>
  <c r="H159" i="2" s="1"/>
  <c r="H154" i="2" s="1"/>
  <c r="L27" i="1"/>
  <c r="L26" i="1" s="1"/>
  <c r="L25" i="1" s="1"/>
  <c r="P226" i="1"/>
  <c r="P224" i="1" s="1"/>
  <c r="P112" i="1"/>
  <c r="P106" i="1" s="1"/>
  <c r="L35" i="1"/>
  <c r="L124" i="2"/>
  <c r="H111" i="2"/>
  <c r="H110" i="2" s="1"/>
  <c r="K201" i="2"/>
  <c r="K200" i="2" s="1"/>
  <c r="L212" i="2"/>
  <c r="H212" i="2"/>
  <c r="P330" i="1"/>
  <c r="P327" i="1"/>
  <c r="J234" i="1"/>
  <c r="J233" i="1" s="1"/>
  <c r="J207" i="1"/>
  <c r="N207" i="1"/>
  <c r="M34" i="1"/>
  <c r="O331" i="1"/>
  <c r="O330" i="1"/>
  <c r="N225" i="1" l="1"/>
  <c r="N224" i="1"/>
  <c r="N223" i="1" s="1"/>
  <c r="M27" i="1"/>
  <c r="M26" i="1" s="1"/>
  <c r="M25" i="1" s="1"/>
  <c r="H290" i="2"/>
  <c r="K285" i="2"/>
  <c r="K250" i="2"/>
  <c r="H250" i="2"/>
  <c r="I191" i="2"/>
  <c r="I190" i="2" s="1"/>
  <c r="I161" i="2"/>
  <c r="I160" i="2" s="1"/>
  <c r="I159" i="2" s="1"/>
  <c r="L27" i="5"/>
  <c r="L26" i="5" s="1"/>
  <c r="L25" i="5" s="1"/>
  <c r="P102" i="4"/>
  <c r="M152" i="5"/>
  <c r="P72" i="1"/>
  <c r="L72" i="1"/>
  <c r="P72" i="6"/>
  <c r="P57" i="6" s="1"/>
  <c r="P207" i="1"/>
  <c r="L134" i="5"/>
  <c r="J275" i="2"/>
  <c r="J274" i="2" s="1"/>
  <c r="J273" i="2" s="1"/>
  <c r="J272" i="2" s="1"/>
  <c r="J271" i="2" s="1"/>
  <c r="O341" i="5"/>
  <c r="O342" i="5" s="1"/>
  <c r="I79" i="2"/>
  <c r="I78" i="2" s="1"/>
  <c r="I77" i="2" s="1"/>
  <c r="M134" i="5"/>
  <c r="N463" i="1"/>
  <c r="N325" i="1"/>
  <c r="N326" i="1" s="1"/>
  <c r="L290" i="1"/>
  <c r="L112" i="1"/>
  <c r="L106" i="1" s="1"/>
  <c r="L98" i="1"/>
  <c r="N31" i="1"/>
  <c r="N30" i="1" s="1"/>
  <c r="J285" i="2"/>
  <c r="J217" i="2"/>
  <c r="H142" i="2"/>
  <c r="N72" i="5"/>
  <c r="J85" i="5"/>
  <c r="J84" i="5" s="1"/>
  <c r="L112" i="5"/>
  <c r="L106" i="5" s="1"/>
  <c r="O134" i="5"/>
  <c r="J226" i="5"/>
  <c r="J224" i="5" s="1"/>
  <c r="J223" i="5" s="1"/>
  <c r="M341" i="5"/>
  <c r="J343" i="5"/>
  <c r="J341" i="5" s="1"/>
  <c r="J342" i="5" s="1"/>
  <c r="O385" i="5"/>
  <c r="M415" i="5"/>
  <c r="N494" i="5"/>
  <c r="O134" i="1"/>
  <c r="O72" i="1"/>
  <c r="H99" i="2"/>
  <c r="J72" i="5"/>
  <c r="J71" i="5" s="1"/>
  <c r="J70" i="5" s="1"/>
  <c r="J69" i="5" s="1"/>
  <c r="O72" i="5"/>
  <c r="M112" i="5"/>
  <c r="M106" i="5" s="1"/>
  <c r="L241" i="5"/>
  <c r="L415" i="5"/>
  <c r="L161" i="2"/>
  <c r="L160" i="2" s="1"/>
  <c r="I212" i="2"/>
  <c r="M32" i="1"/>
  <c r="J175" i="1"/>
  <c r="J173" i="1" s="1"/>
  <c r="J224" i="1"/>
  <c r="J223" i="1" s="1"/>
  <c r="J212" i="2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L71" i="1"/>
  <c r="L70" i="1" s="1"/>
  <c r="L69" i="1" s="1"/>
  <c r="M260" i="5"/>
  <c r="L325" i="1"/>
  <c r="P31" i="1"/>
  <c r="P30" i="1" s="1"/>
  <c r="J161" i="2"/>
  <c r="J160" i="2" s="1"/>
  <c r="J159" i="2" s="1"/>
  <c r="J330" i="3"/>
  <c r="J329" i="3" s="1"/>
  <c r="P57" i="4"/>
  <c r="M27" i="5"/>
  <c r="M26" i="5" s="1"/>
  <c r="M25" i="5" s="1"/>
  <c r="P98" i="5"/>
  <c r="J175" i="5"/>
  <c r="O260" i="5"/>
  <c r="J219" i="1"/>
  <c r="J216" i="1"/>
  <c r="J215" i="1" s="1"/>
  <c r="I153" i="3"/>
  <c r="I152" i="3" s="1"/>
  <c r="H335" i="3"/>
  <c r="H334" i="3" s="1"/>
  <c r="H333" i="3" s="1"/>
  <c r="H332" i="3" s="1"/>
  <c r="H331" i="3" s="1"/>
  <c r="H330" i="3" s="1"/>
  <c r="H329" i="3" s="1"/>
  <c r="H310" i="3"/>
  <c r="P226" i="5"/>
  <c r="J513" i="5"/>
  <c r="M71" i="1"/>
  <c r="M70" i="1" s="1"/>
  <c r="M69" i="1" s="1"/>
  <c r="N471" i="1"/>
  <c r="L93" i="1"/>
  <c r="N117" i="5"/>
  <c r="J327" i="1"/>
  <c r="M166" i="1"/>
  <c r="J154" i="2"/>
  <c r="J471" i="1"/>
  <c r="J369" i="1"/>
  <c r="P82" i="4"/>
  <c r="I131" i="3"/>
  <c r="I130" i="3" s="1"/>
  <c r="J239" i="3"/>
  <c r="J71" i="1"/>
  <c r="J70" i="1" s="1"/>
  <c r="J69" i="1" s="1"/>
  <c r="O463" i="1"/>
  <c r="J166" i="1"/>
  <c r="J134" i="1"/>
  <c r="J85" i="1"/>
  <c r="J84" i="1" s="1"/>
  <c r="I182" i="3"/>
  <c r="I181" i="3" s="1"/>
  <c r="I180" i="3" s="1"/>
  <c r="P71" i="5"/>
  <c r="P70" i="5" s="1"/>
  <c r="P69" i="5" s="1"/>
  <c r="K32" i="4"/>
  <c r="O369" i="1"/>
  <c r="M325" i="1"/>
  <c r="M318" i="1" s="1"/>
  <c r="L152" i="1"/>
  <c r="N72" i="1"/>
  <c r="N71" i="1" s="1"/>
  <c r="N70" i="1" s="1"/>
  <c r="N69" i="1" s="1"/>
  <c r="N71" i="5"/>
  <c r="N70" i="5" s="1"/>
  <c r="N69" i="5" s="1"/>
  <c r="P325" i="1"/>
  <c r="N369" i="1"/>
  <c r="L318" i="1"/>
  <c r="J242" i="1"/>
  <c r="J241" i="1" s="1"/>
  <c r="J240" i="1" s="1"/>
  <c r="P175" i="1"/>
  <c r="J152" i="1"/>
  <c r="N98" i="1"/>
  <c r="J310" i="3"/>
  <c r="L334" i="5"/>
  <c r="I272" i="3"/>
  <c r="I268" i="3" s="1"/>
  <c r="I267" i="3" s="1"/>
  <c r="I266" i="3" s="1"/>
  <c r="I257" i="3" s="1"/>
  <c r="I223" i="3"/>
  <c r="I222" i="3" s="1"/>
  <c r="J272" i="3"/>
  <c r="J234" i="3"/>
  <c r="J223" i="3"/>
  <c r="J222" i="3" s="1"/>
  <c r="M31" i="1"/>
  <c r="M30" i="1" s="1"/>
  <c r="M21" i="1" s="1"/>
  <c r="M241" i="1"/>
  <c r="P134" i="1"/>
  <c r="J130" i="1"/>
  <c r="P117" i="1"/>
  <c r="L117" i="1"/>
  <c r="M112" i="1"/>
  <c r="M106" i="1" s="1"/>
  <c r="J98" i="1"/>
  <c r="N93" i="1"/>
  <c r="H50" i="2"/>
  <c r="H49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94" i="3"/>
  <c r="J193" i="3" s="1"/>
  <c r="J192" i="3" s="1"/>
  <c r="J191" i="3" s="1"/>
  <c r="P93" i="1"/>
  <c r="P83" i="1" s="1"/>
  <c r="L399" i="1"/>
  <c r="N291" i="1"/>
  <c r="N290" i="1" s="1"/>
  <c r="N260" i="1"/>
  <c r="M134" i="1"/>
  <c r="M130" i="1" s="1"/>
  <c r="P71" i="1"/>
  <c r="P70" i="1" s="1"/>
  <c r="P69" i="1" s="1"/>
  <c r="I163" i="3"/>
  <c r="P45" i="6"/>
  <c r="P41" i="6" s="1"/>
  <c r="P38" i="6" s="1"/>
  <c r="H145" i="3"/>
  <c r="H144" i="3" s="1"/>
  <c r="I211" i="2"/>
  <c r="J463" i="1"/>
  <c r="L32" i="1"/>
  <c r="L31" i="1" s="1"/>
  <c r="L30" i="1" s="1"/>
  <c r="L21" i="1" s="1"/>
  <c r="L71" i="5"/>
  <c r="L70" i="5" s="1"/>
  <c r="L69" i="5" s="1"/>
  <c r="R32" i="6"/>
  <c r="R115" i="6" s="1"/>
  <c r="P76" i="6"/>
  <c r="H17" i="7"/>
  <c r="P76" i="4"/>
  <c r="R32" i="4"/>
  <c r="R116" i="4" s="1"/>
  <c r="N235" i="1"/>
  <c r="N234" i="1"/>
  <c r="N233" i="1" s="1"/>
  <c r="J93" i="1"/>
  <c r="J399" i="1"/>
  <c r="J404" i="1" s="1"/>
  <c r="J403" i="1" s="1"/>
  <c r="N134" i="1"/>
  <c r="M175" i="1"/>
  <c r="M173" i="1" s="1"/>
  <c r="O71" i="1"/>
  <c r="O70" i="1" s="1"/>
  <c r="O69" i="1" s="1"/>
  <c r="J330" i="1"/>
  <c r="L175" i="1"/>
  <c r="L174" i="1" s="1"/>
  <c r="J117" i="1"/>
  <c r="N118" i="4"/>
  <c r="P118" i="4" s="1"/>
  <c r="O98" i="1"/>
  <c r="O93" i="1" s="1"/>
  <c r="O325" i="1"/>
  <c r="O326" i="1" s="1"/>
  <c r="H98" i="2"/>
  <c r="P225" i="1"/>
  <c r="I154" i="2"/>
  <c r="P369" i="1"/>
  <c r="O130" i="1"/>
  <c r="L166" i="1"/>
  <c r="N130" i="1"/>
  <c r="N112" i="1"/>
  <c r="N106" i="1" s="1"/>
  <c r="N300" i="1"/>
  <c r="N299" i="1" s="1"/>
  <c r="J291" i="1"/>
  <c r="J290" i="1" s="1"/>
  <c r="O175" i="1"/>
  <c r="O174" i="1" s="1"/>
  <c r="L134" i="1"/>
  <c r="L130" i="1" s="1"/>
  <c r="L105" i="1" s="1"/>
  <c r="N117" i="1"/>
  <c r="J255" i="2"/>
  <c r="T32" i="4"/>
  <c r="T116" i="4" s="1"/>
  <c r="P45" i="4"/>
  <c r="P41" i="4" s="1"/>
  <c r="P38" i="4" s="1"/>
  <c r="L241" i="1"/>
  <c r="N175" i="1"/>
  <c r="N174" i="1" s="1"/>
  <c r="M117" i="1"/>
  <c r="M98" i="1"/>
  <c r="M93" i="1" s="1"/>
  <c r="J174" i="5"/>
  <c r="J173" i="5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J306" i="3"/>
  <c r="I315" i="3"/>
  <c r="J31" i="5"/>
  <c r="J30" i="5" s="1"/>
  <c r="J21" i="5" s="1"/>
  <c r="O31" i="5"/>
  <c r="O30" i="5" s="1"/>
  <c r="N93" i="5"/>
  <c r="J166" i="5"/>
  <c r="P82" i="6"/>
  <c r="P32" i="6" s="1"/>
  <c r="P115" i="6" s="1"/>
  <c r="H239" i="3"/>
  <c r="H233" i="3" s="1"/>
  <c r="H228" i="3" s="1"/>
  <c r="H182" i="3"/>
  <c r="H181" i="3" s="1"/>
  <c r="H180" i="3" s="1"/>
  <c r="H119" i="3"/>
  <c r="P166" i="1"/>
  <c r="P130" i="1"/>
  <c r="O117" i="1"/>
  <c r="O105" i="1" s="1"/>
  <c r="O85" i="1"/>
  <c r="O84" i="1" s="1"/>
  <c r="J58" i="3"/>
  <c r="J57" i="3" s="1"/>
  <c r="J145" i="3"/>
  <c r="J144" i="3" s="1"/>
  <c r="J143" i="3" s="1"/>
  <c r="J142" i="3" s="1"/>
  <c r="H172" i="3"/>
  <c r="H171" i="3" s="1"/>
  <c r="H170" i="3" s="1"/>
  <c r="I310" i="3"/>
  <c r="I306" i="3" s="1"/>
  <c r="I305" i="3" s="1"/>
  <c r="I304" i="3" s="1"/>
  <c r="I295" i="3" s="1"/>
  <c r="P31" i="5"/>
  <c r="P30" i="5" s="1"/>
  <c r="P21" i="5" s="1"/>
  <c r="L85" i="5"/>
  <c r="L84" i="5" s="1"/>
  <c r="J93" i="5"/>
  <c r="J83" i="5" s="1"/>
  <c r="O93" i="5"/>
  <c r="J117" i="5"/>
  <c r="O117" i="5"/>
  <c r="N175" i="5"/>
  <c r="N174" i="5" s="1"/>
  <c r="J206" i="5"/>
  <c r="J204" i="5" s="1"/>
  <c r="J347" i="5"/>
  <c r="J334" i="5"/>
  <c r="J340" i="5" s="1"/>
  <c r="I239" i="3"/>
  <c r="L93" i="5"/>
  <c r="P93" i="5"/>
  <c r="P83" i="5" s="1"/>
  <c r="M334" i="5"/>
  <c r="M333" i="5" s="1"/>
  <c r="P513" i="5"/>
  <c r="J268" i="3"/>
  <c r="J267" i="3" s="1"/>
  <c r="J266" i="3" s="1"/>
  <c r="J257" i="3" s="1"/>
  <c r="H153" i="3"/>
  <c r="H152" i="3" s="1"/>
  <c r="H143" i="3" s="1"/>
  <c r="M32" i="5"/>
  <c r="M31" i="5" s="1"/>
  <c r="M30" i="5" s="1"/>
  <c r="N31" i="5"/>
  <c r="N30" i="5" s="1"/>
  <c r="M93" i="5"/>
  <c r="M117" i="5"/>
  <c r="O226" i="5"/>
  <c r="P260" i="5"/>
  <c r="L290" i="5"/>
  <c r="N334" i="5"/>
  <c r="N340" i="5" s="1"/>
  <c r="I234" i="3"/>
  <c r="I233" i="3" s="1"/>
  <c r="I228" i="3" s="1"/>
  <c r="I221" i="3" s="1"/>
  <c r="I119" i="3"/>
  <c r="I118" i="3" s="1"/>
  <c r="J119" i="3"/>
  <c r="J118" i="3" s="1"/>
  <c r="J117" i="3" s="1"/>
  <c r="J116" i="3" s="1"/>
  <c r="J115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O21" i="1"/>
  <c r="N166" i="1"/>
  <c r="N85" i="1"/>
  <c r="N84" i="1" s="1"/>
  <c r="N152" i="1"/>
  <c r="P152" i="1"/>
  <c r="M85" i="1"/>
  <c r="M84" i="1" s="1"/>
  <c r="M83" i="1" s="1"/>
  <c r="N21" i="1"/>
  <c r="P173" i="1"/>
  <c r="P174" i="1"/>
  <c r="L173" i="1"/>
  <c r="O152" i="1"/>
  <c r="L85" i="1"/>
  <c r="L84" i="1" s="1"/>
  <c r="P21" i="1"/>
  <c r="O246" i="5"/>
  <c r="I330" i="3"/>
  <c r="I329" i="3" s="1"/>
  <c r="J233" i="3"/>
  <c r="J228" i="3" s="1"/>
  <c r="J221" i="3" s="1"/>
  <c r="H306" i="3"/>
  <c r="H230" i="3"/>
  <c r="I277" i="3"/>
  <c r="I159" i="3"/>
  <c r="I158" i="3" s="1"/>
  <c r="J315" i="3"/>
  <c r="J305" i="3" s="1"/>
  <c r="J304" i="3" s="1"/>
  <c r="J295" i="3" s="1"/>
  <c r="I143" i="3"/>
  <c r="I142" i="3" s="1"/>
  <c r="J56" i="3"/>
  <c r="J55" i="3" s="1"/>
  <c r="O71" i="5"/>
  <c r="O70" i="5" s="1"/>
  <c r="O69" i="5" s="1"/>
  <c r="J242" i="5"/>
  <c r="J241" i="5" s="1"/>
  <c r="J240" i="5" s="1"/>
  <c r="J134" i="5"/>
  <c r="J130" i="5" s="1"/>
  <c r="J152" i="5"/>
  <c r="L117" i="5"/>
  <c r="P117" i="5"/>
  <c r="L130" i="5"/>
  <c r="P130" i="5"/>
  <c r="L175" i="5"/>
  <c r="L174" i="5" s="1"/>
  <c r="P175" i="5"/>
  <c r="P174" i="5" s="1"/>
  <c r="L35" i="5"/>
  <c r="L31" i="5" s="1"/>
  <c r="L30" i="5" s="1"/>
  <c r="L21" i="5" s="1"/>
  <c r="M130" i="5"/>
  <c r="O291" i="5"/>
  <c r="O290" i="5" s="1"/>
  <c r="J291" i="5"/>
  <c r="J290" i="5" s="1"/>
  <c r="N341" i="5"/>
  <c r="N342" i="5" s="1"/>
  <c r="P494" i="5"/>
  <c r="O130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N21" i="5"/>
  <c r="M166" i="5"/>
  <c r="L333" i="5"/>
  <c r="J249" i="3"/>
  <c r="J248" i="3" s="1"/>
  <c r="J247" i="3" s="1"/>
  <c r="J246" i="3" s="1"/>
  <c r="I175" i="3"/>
  <c r="I37" i="3"/>
  <c r="I36" i="3" s="1"/>
  <c r="I21" i="3" s="1"/>
  <c r="I19" i="3" s="1"/>
  <c r="J175" i="3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J211" i="2"/>
  <c r="L290" i="2"/>
  <c r="J234" i="2"/>
  <c r="J281" i="2"/>
  <c r="M191" i="1"/>
  <c r="L191" i="1"/>
  <c r="N191" i="1"/>
  <c r="L215" i="1"/>
  <c r="N215" i="1"/>
  <c r="L240" i="1"/>
  <c r="M240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H211" i="2" s="1"/>
  <c r="H206" i="2" s="1"/>
  <c r="H199" i="2" s="1"/>
  <c r="J290" i="2"/>
  <c r="J280" i="2" s="1"/>
  <c r="J279" i="2" s="1"/>
  <c r="J270" i="2" s="1"/>
  <c r="L285" i="2"/>
  <c r="L281" i="2" s="1"/>
  <c r="J250" i="2"/>
  <c r="H255" i="2"/>
  <c r="K212" i="2"/>
  <c r="K142" i="2"/>
  <c r="K138" i="2" s="1"/>
  <c r="K137" i="2" s="1"/>
  <c r="H124" i="2"/>
  <c r="H123" i="2" s="1"/>
  <c r="H122" i="2" s="1"/>
  <c r="H121" i="2" s="1"/>
  <c r="H120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184" i="2"/>
  <c r="I179" i="2" s="1"/>
  <c r="I29" i="2"/>
  <c r="I28" i="2" s="1"/>
  <c r="I21" i="2" s="1"/>
  <c r="I19" i="2" s="1"/>
  <c r="H138" i="2"/>
  <c r="H137" i="2" s="1"/>
  <c r="J206" i="2"/>
  <c r="J19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L211" i="2"/>
  <c r="L206" i="2" s="1"/>
  <c r="J191" i="2"/>
  <c r="J190" i="2" s="1"/>
  <c r="J184" i="2" s="1"/>
  <c r="J179" i="2" s="1"/>
  <c r="J168" i="2" s="1"/>
  <c r="J98" i="2"/>
  <c r="I99" i="2"/>
  <c r="I98" i="2" s="1"/>
  <c r="L99" i="2"/>
  <c r="L98" i="2" s="1"/>
  <c r="J227" i="2"/>
  <c r="J226" i="2" s="1"/>
  <c r="J225" i="2" s="1"/>
  <c r="J224" i="2" s="1"/>
  <c r="H48" i="2"/>
  <c r="H47" i="2" s="1"/>
  <c r="I206" i="2"/>
  <c r="I199" i="2" s="1"/>
  <c r="I142" i="2"/>
  <c r="I138" i="2" s="1"/>
  <c r="I137" i="2" s="1"/>
  <c r="I121" i="2" s="1"/>
  <c r="I120" i="2" s="1"/>
  <c r="J79" i="2"/>
  <c r="J78" i="2" s="1"/>
  <c r="J77" i="2" s="1"/>
  <c r="J70" i="2" s="1"/>
  <c r="J46" i="2" s="1"/>
  <c r="K281" i="2"/>
  <c r="I255" i="2"/>
  <c r="I111" i="2"/>
  <c r="I110" i="2" s="1"/>
  <c r="L302" i="2"/>
  <c r="L301" i="2" s="1"/>
  <c r="H97" i="2"/>
  <c r="H96" i="2" s="1"/>
  <c r="H95" i="2" s="1"/>
  <c r="H302" i="2"/>
  <c r="H301" i="2" s="1"/>
  <c r="I234" i="2"/>
  <c r="I285" i="2"/>
  <c r="I281" i="2" s="1"/>
  <c r="I280" i="2" s="1"/>
  <c r="I279" i="2" s="1"/>
  <c r="I270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80" i="2" s="1"/>
  <c r="H279" i="2" s="1"/>
  <c r="H270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L120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173" i="5"/>
  <c r="O21" i="5"/>
  <c r="N85" i="5"/>
  <c r="N84" i="5" s="1"/>
  <c r="N83" i="5" s="1"/>
  <c r="P166" i="5"/>
  <c r="O85" i="5"/>
  <c r="O84" i="5" s="1"/>
  <c r="O300" i="5"/>
  <c r="O299" i="5" s="1"/>
  <c r="O152" i="5"/>
  <c r="L173" i="5"/>
  <c r="M174" i="5"/>
  <c r="M173" i="5"/>
  <c r="M21" i="5"/>
  <c r="N105" i="5"/>
  <c r="P152" i="5"/>
  <c r="M85" i="5"/>
  <c r="M84" i="5" s="1"/>
  <c r="M83" i="5" s="1"/>
  <c r="N152" i="5"/>
  <c r="O235" i="5"/>
  <c r="P300" i="5"/>
  <c r="P299" i="5" s="1"/>
  <c r="O224" i="5"/>
  <c r="O223" i="5" s="1"/>
  <c r="O225" i="5"/>
  <c r="P250" i="5"/>
  <c r="P246" i="5"/>
  <c r="P241" i="5" s="1"/>
  <c r="P240" i="5" s="1"/>
  <c r="N234" i="5"/>
  <c r="N233" i="5" s="1"/>
  <c r="N235" i="5"/>
  <c r="P224" i="5"/>
  <c r="P223" i="5" s="1"/>
  <c r="P225" i="5"/>
  <c r="O241" i="5"/>
  <c r="O240" i="5" s="1"/>
  <c r="L191" i="5"/>
  <c r="J225" i="5"/>
  <c r="M191" i="5"/>
  <c r="L240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159" i="3"/>
  <c r="H158" i="3" s="1"/>
  <c r="H315" i="3"/>
  <c r="H320" i="3"/>
  <c r="H319" i="3" s="1"/>
  <c r="H223" i="3"/>
  <c r="H222" i="3" s="1"/>
  <c r="H201" i="3"/>
  <c r="H175" i="3"/>
  <c r="H116" i="3"/>
  <c r="H115" i="3" s="1"/>
  <c r="H136" i="3"/>
  <c r="H118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N224" i="5"/>
  <c r="N223" i="5" s="1"/>
  <c r="P478" i="1"/>
  <c r="O438" i="1"/>
  <c r="O478" i="1"/>
  <c r="P326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K116" i="4"/>
  <c r="O404" i="1"/>
  <c r="O403" i="1" s="1"/>
  <c r="P404" i="1"/>
  <c r="P403" i="1" s="1"/>
  <c r="L70" i="2"/>
  <c r="K70" i="2"/>
  <c r="H70" i="2"/>
  <c r="I70" i="2"/>
  <c r="I46" i="2" s="1"/>
  <c r="H90" i="3"/>
  <c r="I90" i="3"/>
  <c r="J90" i="3"/>
  <c r="N513" i="5"/>
  <c r="N415" i="5" s="1"/>
  <c r="J174" i="1" l="1"/>
  <c r="M105" i="5"/>
  <c r="N105" i="1"/>
  <c r="M105" i="1"/>
  <c r="J120" i="2"/>
  <c r="K211" i="2"/>
  <c r="K206" i="2" s="1"/>
  <c r="K199" i="2" s="1"/>
  <c r="L83" i="1"/>
  <c r="L20" i="1" s="1"/>
  <c r="L12" i="1" s="1"/>
  <c r="J105" i="1"/>
  <c r="M317" i="1"/>
  <c r="J105" i="5"/>
  <c r="I117" i="3"/>
  <c r="I116" i="3" s="1"/>
  <c r="I115" i="3" s="1"/>
  <c r="O83" i="1"/>
  <c r="J325" i="1"/>
  <c r="P32" i="4"/>
  <c r="P116" i="4" s="1"/>
  <c r="J141" i="3"/>
  <c r="P105" i="1"/>
  <c r="H46" i="2"/>
  <c r="H221" i="3"/>
  <c r="N173" i="1"/>
  <c r="J83" i="1"/>
  <c r="N83" i="1"/>
  <c r="O173" i="1"/>
  <c r="O83" i="5"/>
  <c r="H305" i="3"/>
  <c r="H304" i="3" s="1"/>
  <c r="H295" i="3" s="1"/>
  <c r="P105" i="5"/>
  <c r="L83" i="5"/>
  <c r="H142" i="3"/>
  <c r="H141" i="3" s="1"/>
  <c r="O105" i="5"/>
  <c r="K280" i="2"/>
  <c r="K279" i="2" s="1"/>
  <c r="K270" i="2" s="1"/>
  <c r="J20" i="1"/>
  <c r="J11" i="1" s="1"/>
  <c r="L317" i="1"/>
  <c r="J20" i="5"/>
  <c r="J11" i="5" s="1"/>
  <c r="L21" i="2"/>
  <c r="J97" i="2"/>
  <c r="J96" i="2" s="1"/>
  <c r="J95" i="2" s="1"/>
  <c r="L190" i="1"/>
  <c r="L189" i="1" s="1"/>
  <c r="J190" i="3"/>
  <c r="M20" i="1"/>
  <c r="M12" i="1" s="1"/>
  <c r="J326" i="1"/>
  <c r="J318" i="1"/>
  <c r="K168" i="2"/>
  <c r="M174" i="1"/>
  <c r="H56" i="3"/>
  <c r="H55" i="3" s="1"/>
  <c r="K21" i="2"/>
  <c r="O20" i="1"/>
  <c r="O11" i="1" s="1"/>
  <c r="P20" i="1"/>
  <c r="P11" i="1" s="1"/>
  <c r="O173" i="5"/>
  <c r="I190" i="3"/>
  <c r="I141" i="3"/>
  <c r="O215" i="5"/>
  <c r="P173" i="5"/>
  <c r="P20" i="5" s="1"/>
  <c r="P11" i="5" s="1"/>
  <c r="L105" i="5"/>
  <c r="L20" i="5" s="1"/>
  <c r="L12" i="5" s="1"/>
  <c r="L190" i="5"/>
  <c r="L189" i="5" s="1"/>
  <c r="H190" i="3"/>
  <c r="L199" i="2"/>
  <c r="L280" i="2"/>
  <c r="L279" i="2" s="1"/>
  <c r="L270" i="2" s="1"/>
  <c r="N190" i="1"/>
  <c r="N189" i="1" s="1"/>
  <c r="J190" i="1"/>
  <c r="M190" i="1"/>
  <c r="M189" i="1" s="1"/>
  <c r="O224" i="1"/>
  <c r="O223" i="1" s="1"/>
  <c r="O225" i="1"/>
  <c r="I168" i="2"/>
  <c r="L168" i="2"/>
  <c r="L19" i="2"/>
  <c r="H168" i="2"/>
  <c r="H45" i="2" s="1"/>
  <c r="I20" i="2"/>
  <c r="J45" i="2"/>
  <c r="I97" i="2"/>
  <c r="I96" i="2" s="1"/>
  <c r="I95" i="2" s="1"/>
  <c r="H20" i="2"/>
  <c r="H19" i="2"/>
  <c r="J20" i="2"/>
  <c r="J19" i="2"/>
  <c r="K120" i="2"/>
  <c r="L46" i="2"/>
  <c r="K46" i="2"/>
  <c r="N20" i="5"/>
  <c r="N11" i="5" s="1"/>
  <c r="M190" i="5"/>
  <c r="M189" i="5" s="1"/>
  <c r="M20" i="5"/>
  <c r="M12" i="5" s="1"/>
  <c r="O190" i="5"/>
  <c r="O189" i="5" s="1"/>
  <c r="P215" i="5"/>
  <c r="P190" i="5" s="1"/>
  <c r="P189" i="5" s="1"/>
  <c r="J215" i="5"/>
  <c r="J190" i="5" s="1"/>
  <c r="H135" i="3"/>
  <c r="H134" i="3"/>
  <c r="H131" i="3" s="1"/>
  <c r="H130" i="3" s="1"/>
  <c r="J333" i="5"/>
  <c r="N215" i="5"/>
  <c r="N190" i="5" s="1"/>
  <c r="P215" i="1"/>
  <c r="P190" i="1" s="1"/>
  <c r="P233" i="1"/>
  <c r="O233" i="1"/>
  <c r="N420" i="5"/>
  <c r="N419" i="5" s="1"/>
  <c r="N333" i="5"/>
  <c r="J54" i="3"/>
  <c r="J20" i="3"/>
  <c r="I54" i="3"/>
  <c r="I20" i="3"/>
  <c r="O20" i="5" l="1"/>
  <c r="O11" i="5" s="1"/>
  <c r="N20" i="1"/>
  <c r="N11" i="1" s="1"/>
  <c r="J53" i="3"/>
  <c r="J18" i="3" s="1"/>
  <c r="O215" i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O190" i="1"/>
  <c r="O189" i="1" s="1"/>
  <c r="Q15" i="1" s="1"/>
  <c r="P189" i="1"/>
  <c r="R15" i="1" s="1"/>
  <c r="K45" i="2"/>
  <c r="I45" i="2"/>
  <c r="I18" i="2" s="1"/>
  <c r="H18" i="2"/>
  <c r="J18" i="2"/>
  <c r="K20" i="2"/>
  <c r="K18" i="2" s="1"/>
  <c r="M15" i="2" s="1"/>
  <c r="K19" i="2"/>
  <c r="J189" i="5"/>
  <c r="N189" i="5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63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<sst xmlns="http://schemas.openxmlformats.org/spreadsheetml/2006/main" count="29223" uniqueCount="1136">
  <si>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</si>
  <si>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</si>
  <si>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</si>
  <si>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</si>
  <si>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</si>
  <si>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</si>
  <si>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</si>
  <si>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</si>
  <si>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</si>
  <si>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</si>
  <si>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</si>
  <si>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</si>
  <si>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</si>
  <si>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</si>
  <si>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</si>
  <si>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</si>
  <si>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</si>
  <si>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</si>
  <si>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</si>
  <si>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</si>
  <si>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</si>
  <si>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</si>
  <si>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</si>
  <si>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</si>
  <si>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</si>
  <si>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</si>
  <si>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</si>
  <si>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</si>
  <si>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</si>
  <si>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</si>
  <si>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</si>
  <si>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</si>
  <si>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</si>
  <si>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</si>
  <si>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</si>
  <si>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</si>
  <si>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</si>
  <si>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</si>
  <si>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</si>
  <si>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</si>
  <si>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</si>
  <si>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</si>
  <si>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</si>
  <si>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</si>
  <si>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</si>
  <si>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</si>
  <si>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</si>
  <si>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</si>
  <si>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</si>
  <si>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</si>
  <si>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</si>
  <si>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</si>
  <si>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</si>
  <si>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</si>
  <si>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</si>
  <si>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</si>
  <si>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</si>
  <si>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</si>
  <si>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</si>
  <si>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</si>
  <si>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</si>
  <si>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</si>
  <si>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</si>
  <si>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</si>
  <si>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</si>
  <si>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</si>
  <si>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</si>
  <si>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</si>
  <si>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</si>
  <si>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</si>
  <si>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</si>
  <si>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</si>
  <si>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</si>
  <si>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</si>
  <si>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</si>
  <si>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</si>
  <si>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</si>
  <si>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</si>
  <si>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</si>
  <si>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</si>
  <si>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</si>
  <si>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</si>
  <si>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</si>
  <si>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</si>
  <si>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</si>
  <si>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</si>
  <si>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</si>
  <si>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</si>
  <si>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</si>
  <si>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</si>
  <si>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</si>
  <si>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</si>
  <si>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</si>
  <si>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</si>
  <si>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</si>
  <si>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</si>
  <si>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</si>
  <si>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</si>
  <si>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</si>
  <si>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</si>
  <si>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</si>
  <si>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</si>
  <si>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</si>
  <si>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</si>
  <si>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</si>
  <si>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</si>
  <si>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</si>
  <si>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</si>
  <si>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</si>
  <si>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</si>
  <si>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</si>
  <si>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</si>
  <si>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</si>
  <si>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</si>
  <si>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</si>
  <si>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</si>
  <si>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</si>
  <si>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</si>
  <si>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</si>
  <si>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</si>
  <si>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</si>
  <si>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</si>
  <si>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</si>
  <si>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</si>
  <si>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</si>
  <si>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</si>
  <si>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</si>
  <si>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</si>
  <si>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</si>
  <si>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</si>
  <si>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</si>
  <si>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</si>
  <si>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</si>
  <si>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</si>
  <si>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</si>
  <si>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</si>
  <si>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</si>
  <si>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</si>
  <si>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</si>
  <si>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</si>
  <si>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</si>
  <si>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</si>
  <si>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</si>
  <si>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</si>
  <si>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</si>
  <si>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</si>
  <si>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</si>
  <si>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</si>
  <si>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</si>
  <si>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</si>
  <si>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</si>
  <si>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</si>
  <si>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</si>
  <si>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</si>
  <si>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</si>
  <si>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</si>
  <si>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</si>
  <si>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</si>
  <si>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</si>
  <si>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</si>
  <si>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</si>
  <si>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</si>
  <si>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</si>
  <si>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</si>
  <si>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</si>
  <si>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</si>
  <si>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</si>
  <si>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</si>
  <si>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</si>
  <si>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</si>
  <si>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</si>
  <si>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</si>
  <si>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</si>
  <si>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</si>
  <si>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</si>
  <si>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</si>
  <si>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</si>
  <si>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</si>
  <si>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</si>
  <si>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</si>
  <si>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</si>
  <si>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</si>
  <si>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</si>
  <si>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</si>
  <si>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</si>
  <si>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</si>
  <si>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</si>
  <si>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</si>
  <si>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</si>
  <si>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</si>
  <si>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</si>
  <si>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</si>
  <si>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</si>
  <si>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</si>
  <si>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</si>
  <si>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</si>
  <si>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</si>
  <si>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</si>
  <si>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</si>
  <si>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</si>
  <si>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</si>
  <si>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</si>
  <si>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</si>
  <si>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</si>
  <si>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</si>
  <si>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</si>
  <si>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</si>
  <si>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</si>
  <si>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</si>
  <si>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</si>
  <si>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</si>
  <si>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</si>
  <si>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</si>
  <si>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</si>
  <si>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</si>
  <si>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</si>
  <si>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</si>
  <si>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</si>
  <si>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</si>
  <si>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</si>
  <si>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</si>
  <si>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</si>
  <si>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</si>
  <si>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</si>
  <si>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</si>
  <si>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</si>
  <si>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</si>
  <si>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</si>
  <si>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</si>
  <si>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</si>
  <si>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</si>
  <si>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</si>
  <si>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</si>
  <si>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</si>
  <si>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</si>
  <si>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</si>
  <si>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</si>
  <si>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</si>
  <si>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</si>
  <si>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</si>
  <si>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</si>
  <si>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</si>
  <si>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</si>
  <si>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</si>
  <si>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</si>
  <si>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</si>
  <si>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</si>
  <si>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</si>
  <si>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</si>
  <si>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</si>
  <si>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</si>
  <si>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</si>
  <si>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</si>
  <si>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</si>
  <si>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</si>
  <si>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</si>
  <si>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</si>
  <si>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</si>
  <si>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</si>
  <si>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</si>
  <si>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</si>
  <si>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</si>
  <si>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</si>
  <si>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</si>
  <si>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</si>
  <si>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</si>
  <si>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</si>
  <si>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</si>
  <si>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</si>
  <si>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</si>
  <si>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</si>
  <si>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</si>
  <si>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</si>
  <si>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</si>
  <si>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</si>
  <si>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</si>
  <si>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</si>
  <si>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</si>
  <si>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</si>
  <si>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</si>
  <si>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</si>
  <si>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</si>
  <si>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</si>
  <si>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</si>
  <si>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</si>
  <si>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</si>
  <si>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</si>
  <si>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</si>
  <si>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</si>
  <si>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</si>
  <si>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</si>
  <si>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</si>
  <si>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</si>
  <si>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</si>
  <si>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</si>
  <si>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</si>
  <si>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</si>
  <si>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</si>
  <si>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</si>
  <si>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</si>
  <si>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</si>
  <si>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</si>
  <si>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</si>
  <si>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</si>
  <si>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</si>
  <si>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</si>
  <si>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</si>
  <si>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</si>
  <si>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</si>
  <si>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</si>
  <si>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</si>
  <si>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</si>
  <si>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</si>
  <si>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</si>
  <si>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</si>
  <si>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</si>
  <si>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</si>
  <si>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</si>
  <si>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</si>
  <si>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</si>
  <si>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</si>
  <si>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</si>
  <si>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</si>
  <si>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</si>
  <si>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</si>
  <si>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</si>
  <si>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</si>
  <si>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</si>
  <si>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</si>
  <si>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</si>
  <si>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</si>
  <si>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</si>
  <si>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</si>
  <si>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</si>
  <si>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</si>
  <si>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</si>
  <si>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</si>
  <si>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</si>
  <si>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</si>
  <si>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</si>
  <si>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</si>
  <si>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</si>
  <si>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</si>
  <si>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</si>
  <si>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</si>
  <si>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</si>
  <si>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</si>
  <si>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</si>
  <si>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</si>
  <si>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</si>
  <si>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</si>
  <si>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</si>
  <si>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</si>
  <si>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</si>
  <si>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</si>
  <si>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</si>
  <si>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</si>
  <si>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</si>
  <si>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</si>
  <si>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</si>
  <si>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</si>
  <si>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</si>
  <si>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</si>
  <si>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</si>
  <si>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</si>
  <si>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</si>
  <si>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</si>
  <si>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</si>
  <si>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</si>
  <si>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</si>
  <si>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</si>
  <si>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</si>
  <si>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</si>
  <si>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</si>
  <si>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</si>
  <si>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</si>
  <si>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</si>
  <si>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</si>
  <si>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</si>
  <si>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</si>
  <si>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</si>
  <si>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</si>
  <si>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</si>
  <si>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</si>
  <si>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</si>
  <si>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</si>
  <si>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</si>
  <si>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</si>
  <si>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</si>
  <si>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</si>
  <si>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</si>
  <si>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</si>
  <si>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</si>
  <si>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</si>
  <si>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</si>
  <si>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</si>
  <si>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</si>
  <si>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</si>
  <si>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</si>
  <si>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</si>
  <si>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</si>
  <si>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</si>
  <si>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</si>
  <si>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</si>
  <si>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</si>
  <si>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</si>
  <si>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</si>
  <si>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</si>
  <si>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</si>
  <si>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</si>
  <si>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</si>
  <si>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</si>
  <si>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</si>
  <si>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</si>
  <si>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</si>
  <si>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</si>
  <si>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</si>
  <si>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</si>
  <si>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</si>
  <si>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</si>
  <si>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</si>
  <si>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</si>
  <si>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</si>
  <si>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</si>
  <si>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</si>
  <si>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</si>
  <si>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</si>
  <si>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</si>
  <si>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</si>
  <si>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</si>
  <si>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</si>
  <si>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</si>
  <si>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</si>
  <si>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</si>
  <si>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</si>
  <si>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</si>
  <si>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</si>
  <si>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</si>
  <si>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</si>
  <si>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</si>
  <si>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</si>
  <si>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</si>
  <si>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</si>
  <si>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</si>
  <si>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</si>
  <si>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</si>
  <si>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</si>
  <si>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</si>
  <si>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</si>
  <si>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</si>
  <si>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</si>
  <si>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</si>
  <si>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</si>
  <si>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</si>
  <si>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</si>
  <si>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</si>
  <si>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</si>
  <si>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</si>
  <si>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</si>
  <si>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</si>
  <si>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</si>
  <si>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</si>
  <si>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</si>
  <si>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</si>
  <si>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</si>
  <si>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</si>
  <si>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</si>
  <si>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</si>
  <si>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</si>
  <si>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</si>
  <si>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</si>
  <si>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</si>
  <si>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</si>
  <si>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</si>
  <si>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</si>
  <si>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</si>
  <si>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</si>
  <si>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</si>
  <si>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</si>
  <si>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</si>
  <si>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</si>
  <si>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</si>
  <si>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</si>
  <si>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</si>
  <si>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</si>
  <si>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</si>
  <si>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</si>
  <si>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</si>
  <si>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</si>
  <si>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</si>
  <si>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</si>
  <si>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</si>
  <si>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</si>
  <si>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</si>
  <si>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</si>
  <si>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</si>
  <si>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</si>
  <si>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</si>
  <si>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</si>
  <si>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</si>
  <si>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</si>
  <si>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</si>
  <si>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</si>
  <si>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</si>
  <si>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</si>
  <si>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</si>
  <si>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</si>
  <si>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</si>
  <si>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</si>
  <si>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</si>
  <si>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</si>
  <si>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</si>
  <si>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</si>
  <si>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</si>
  <si>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</si>
  <si>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</si>
  <si>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</si>
  <si>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</si>
  <si>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</si>
  <si>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</si>
  <si>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</si>
  <si>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</si>
  <si>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</si>
  <si>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</si>
  <si>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</si>
  <si>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</si>
  <si>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</si>
  <si>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</si>
  <si>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</si>
  <si>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</si>
  <si>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</si>
  <si>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</si>
  <si>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</si>
  <si>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</si>
  <si>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</si>
  <si>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</si>
  <si>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</si>
  <si>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</si>
  <si>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</si>
  <si>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</si>
  <si>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</si>
  <si>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</si>
  <si>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</si>
  <si>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</si>
  <si>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</si>
  <si>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</si>
  <si>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</si>
  <si>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</si>
  <si>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</si>
  <si>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</si>
  <si>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</si>
  <si>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</si>
  <si>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</si>
  <si>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</si>
  <si>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</si>
  <si>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</si>
  <si>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</si>
  <si>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</si>
  <si>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</si>
  <si>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</si>
  <si>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</si>
  <si>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</si>
  <si>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</si>
  <si>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</si>
  <si>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</si>
  <si>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</si>
  <si>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</si>
  <si>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</si>
  <si>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</si>
  <si>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</si>
  <si>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</si>
  <si>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</si>
  <si>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</si>
  <si>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</si>
  <si>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</si>
  <si>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</si>
  <si>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</si>
  <si>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</si>
  <si>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</si>
  <si>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</si>
  <si>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</si>
  <si>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</si>
  <si>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</si>
  <si>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</si>
  <si>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</si>
  <si>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</si>
  <si>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</si>
  <si>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</si>
  <si>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</si>
  <si>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</si>
  <si>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</si>
  <si>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</si>
  <si>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</si>
  <si>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</si>
  <si>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</si>
  <si>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</si>
  <si>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</si>
  <si>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</si>
  <si>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</si>
  <si>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</si>
  <si>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</si>
  <si>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</si>
  <si>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</si>
  <si>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</si>
  <si>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</si>
  <si>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</si>
  <si>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</si>
  <si>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</si>
  <si>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</si>
  <si>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</si>
  <si>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</si>
  <si>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</si>
  <si>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</si>
  <si>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</si>
  <si>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</si>
  <si>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</si>
  <si>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</si>
  <si>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</si>
  <si>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</si>
  <si>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</si>
  <si>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</si>
  <si>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</si>
  <si>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</si>
  <si>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</si>
  <si>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</si>
  <si>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</si>
  <si>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</si>
  <si>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</si>
  <si>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</si>
  <si>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</si>
  <si>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</si>
  <si>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</si>
  <si>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</si>
  <si>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</si>
  <si>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</si>
  <si>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</si>
  <si>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</si>
  <si>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</si>
  <si>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</si>
  <si>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</si>
  <si>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</si>
  <si>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</si>
  <si>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</si>
  <si>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</si>
  <si>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</si>
  <si>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</si>
  <si>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</si>
  <si>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</si>
  <si>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</si>
  <si>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</si>
  <si>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</si>
  <si>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</si>
  <si>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</si>
  <si>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</si>
  <si>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</si>
  <si>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</si>
  <si>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</si>
  <si>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</si>
  <si>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</si>
  <si>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</si>
  <si>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</si>
  <si>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</si>
  <si>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</si>
  <si>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</si>
  <si>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</si>
  <si>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</si>
  <si>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</si>
  <si>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</si>
  <si>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</si>
  <si>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</si>
  <si>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</si>
  <si>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</si>
  <si>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</si>
  <si>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</si>
  <si>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</si>
  <si>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</si>
  <si>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</si>
  <si>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</si>
  <si>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</si>
  <si>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</si>
  <si>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</si>
  <si>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</si>
  <si>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</si>
  <si>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</si>
  <si>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</si>
  <si>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</si>
  <si>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</si>
  <si>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</si>
  <si>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</si>
  <si>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</si>
  <si>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</si>
  <si>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</si>
  <si>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</si>
  <si>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</si>
  <si>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</si>
  <si>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</si>
  <si>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</si>
  <si>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</si>
  <si>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</si>
  <si>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</si>
  <si>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</si>
  <si>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</si>
  <si>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</si>
  <si>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</si>
  <si>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</si>
  <si>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</si>
  <si>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</si>
  <si>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</si>
  <si>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</si>
  <si>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</si>
  <si>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</si>
  <si>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</si>
  <si>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</si>
  <si>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</si>
  <si>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</si>
  <si>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</si>
  <si>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</si>
  <si>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</si>
  <si>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</si>
  <si>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</si>
  <si>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</si>
  <si>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</si>
  <si>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</si>
  <si>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</si>
  <si>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</si>
  <si>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</si>
  <si>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</si>
  <si>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</si>
  <si>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</si>
  <si>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</si>
  <si>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</si>
  <si>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</si>
  <si>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</si>
  <si>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</si>
  <si>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</si>
  <si>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</si>
  <si>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</si>
  <si>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</si>
  <si>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</si>
  <si>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</si>
  <si>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</si>
  <si>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</si>
  <si>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</si>
  <si>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</si>
  <si>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</si>
  <si>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</si>
  <si>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</si>
  <si>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</si>
  <si>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</si>
  <si>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</si>
  <si>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</si>
  <si>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</si>
  <si>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</si>
  <si>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</si>
  <si>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</si>
  <si>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</si>
  <si>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</si>
  <si>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</si>
  <si>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</si>
  <si>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</si>
  <si>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</si>
  <si>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</si>
  <si>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</si>
  <si>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</si>
  <si>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</si>
  <si>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</si>
  <si>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</si>
  <si>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</si>
  <si>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</si>
  <si>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</si>
  <si>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</si>
  <si>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</si>
  <si>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</si>
  <si>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</si>
  <si>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</si>
  <si>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</si>
  <si>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</si>
  <si>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</si>
  <si>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</si>
  <si>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</si>
  <si>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</si>
  <si>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</si>
  <si>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</si>
  <si>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</si>
  <si>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</si>
  <si>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</si>
  <si>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</si>
  <si>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</si>
  <si>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</si>
  <si>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</si>
  <si>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</si>
  <si>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</si>
  <si>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</si>
  <si>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</si>
  <si>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</si>
  <si>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</si>
  <si>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</si>
  <si>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</si>
  <si>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</si>
  <si>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</si>
  <si>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</si>
  <si>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</si>
  <si>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</si>
  <si>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</si>
  <si>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</si>
  <si>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</si>
  <si>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</si>
  <si>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</si>
  <si>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</si>
  <si>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</si>
  <si>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</si>
  <si>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</si>
  <si>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</si>
  <si>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</si>
  <si>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</si>
  <si>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</si>
  <si>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</si>
  <si>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</si>
  <si>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</si>
  <si>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</si>
  <si>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</si>
  <si>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</si>
  <si>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</si>
  <si>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</si>
  <si>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</si>
  <si>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</si>
  <si>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</si>
  <si>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</si>
  <si>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</si>
  <si>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</si>
  <si>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</si>
  <si>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</si>
  <si>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</si>
  <si>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</si>
  <si>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</si>
  <si>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</si>
  <si>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</si>
  <si>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</si>
  <si>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</si>
  <si>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</si>
  <si>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</si>
  <si>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</si>
  <si>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</si>
  <si>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</si>
  <si>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</si>
  <si>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</si>
  <si>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</si>
  <si>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</si>
  <si>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</si>
  <si>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</si>
  <si>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</si>
  <si>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</si>
  <si>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</si>
  <si>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</si>
  <si>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</si>
  <si>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</si>
  <si>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</si>
  <si>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</si>
  <si>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</si>
  <si>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</si>
  <si>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</si>
  <si>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</si>
  <si>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</si>
  <si>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</si>
  <si>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</si>
  <si>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</si>
  <si>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</si>
  <si>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</si>
  <si>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</si>
  <si>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</si>
  <si>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</si>
  <si>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</si>
  <si>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</si>
  <si>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</si>
  <si>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</si>
  <si>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</si>
  <si>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</si>
  <si>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</si>
  <si>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</si>
  <si>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</si>
  <si>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</si>
  <si>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</si>
  <si>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</si>
  <si>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</si>
  <si>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</si>
  <si>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</si>
  <si>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</si>
  <si>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</si>
  <si>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</si>
  <si>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</si>
  <si>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</si>
  <si>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</si>
  <si>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</si>
  <si>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</si>
  <si>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</si>
  <si>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</si>
  <si>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</si>
  <si>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</si>
  <si>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</si>
  <si>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</si>
  <si>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</si>
  <si>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</si>
  <si>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</si>
  <si>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</si>
  <si>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</si>
  <si>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</si>
  <si>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</si>
  <si>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</si>
  <si>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</si>
  <si>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</si>
  <si>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</si>
  <si>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</si>
  <si>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</si>
  <si>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</si>
  <si>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</si>
  <si>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</si>
  <si>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</si>
  <si>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</si>
  <si>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</si>
  <si>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</si>
  <si>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</si>
  <si>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</si>
  <si>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</si>
  <si>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</si>
  <si>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</si>
  <si>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</si>
  <si>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</si>
  <si>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</si>
  <si>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</si>
  <si>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</si>
  <si>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</si>
  <si>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</si>
  <si>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</si>
  <si>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</si>
  <si>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</si>
  <si>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</si>
  <si>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</si>
  <si>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</si>
  <si>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</si>
  <si>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</si>
  <si>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</si>
  <si>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</si>
  <si>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</si>
  <si>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</si>
  <si>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</si>
  <si>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</si>
  <si>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</si>
  <si>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</si>
  <si>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</si>
  <si>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</si>
  <si>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</si>
  <si>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</si>
  <si>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</si>
  <si>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</si>
  <si>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</si>
  <si>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</si>
  <si>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</si>
  <si>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</si>
  <si>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</si>
  <si>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</si>
  <si>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</si>
  <si>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</si>
  <si>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</si>
  <si>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</si>
  <si>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</si>
  <si>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</si>
  <si>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</si>
  <si>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</si>
  <si>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</si>
  <si>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</si>
  <si>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</si>
  <si>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</si>
  <si>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</si>
  <si>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</si>
  <si>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</si>
  <si>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</si>
  <si>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</si>
  <si>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</si>
  <si>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</si>
  <si>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</si>
  <si>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</si>
  <si>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</si>
  <si>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</si>
  <si>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</si>
  <si>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</si>
  <si>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</si>
  <si>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</si>
  <si>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</si>
  <si>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</si>
  <si>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</si>
  <si>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</si>
  <si>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</si>
  <si>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</si>
  <si>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</si>
  <si>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</si>
  <si>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</si>
  <si>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</si>
  <si>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</si>
  <si>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</si>
  <si>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</si>
  <si>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</si>
  <si>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</si>
  <si>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</si>
  <si>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</si>
  <si>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</si>
  <si>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</si>
  <si>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</si>
  <si>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</si>
  <si>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</si>
  <si>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</si>
  <si>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</si>
  <si>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</si>
  <si>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</si>
  <si>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</si>
  <si>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</si>
  <si>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</si>
  <si>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</si>
  <si>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</si>
  <si>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</si>
  <si>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</si>
  <si>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</si>
  <si>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</si>
  <si>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</si>
  <si>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</si>
  <si>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</si>
  <si>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</si>
  <si>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</si>
  <si>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</si>
  <si>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</si>
  <si>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</si>
  <si>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</si>
  <si>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</si>
  <si>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</si>
  <si>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</si>
  <si>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</si>
  <si>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</si>
  <si>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</si>
  <si>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</si>
  <si>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</si>
  <si>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</si>
  <si>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</si>
  <si>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</si>
  <si>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</si>
  <si>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</si>
  <si>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</si>
  <si>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</si>
  <si>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</si>
  <si>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</si>
  <si>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</si>
  <si>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</si>
  <si>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</si>
  <si>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</si>
  <si>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</si>
  <si>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</si>
  <si>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</si>
  <si>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</si>
  <si>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</si>
  <si>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</si>
  <si>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</si>
  <si>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</si>
  <si>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</si>
  <si>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</si>
  <si>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</si>
  <si>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</si>
  <si>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</si>
  <si>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</si>
  <si>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</si>
  <si>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</si>
  <si>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</si>
  <si>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</si>
  <si>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</si>
  <si>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</si>
  <si>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</si>
  <si>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</si>
  <si>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</si>
  <si>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</si>
  <si>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</si>
  <si>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</si>
  <si>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</si>
  <si>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</si>
  <si>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</si>
  <si>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</si>
  <si>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</si>
  <si>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</si>
  <si>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</si>
  <si>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</si>
  <si>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</si>
  <si>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</si>
  <si>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</si>
  <si>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</si>
  <si>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</si>
  <si>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</si>
  <si>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</si>
  <si>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</si>
  <si>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</si>
  <si>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«Грантовая поддержка местных инициатив граждан, проживающих в сельской местности»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</si>
  <si>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</si>
  <si>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</si>
  <si>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</si>
  <si>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</si>
  <si>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</si>
  <si>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</si>
  <si>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</si>
  <si>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</si>
  <si>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>Прочие субсидии бюджетам сельских поселений (субсидии на обеспечение выплат стимулирующег характера работникам учреждений культуры )</t>
  </si>
  <si>
    <t xml:space="preserve">    от  "16" декабря  2019 года № 131</t>
  </si>
  <si>
    <t>99 9 01 12040</t>
  </si>
  <si>
    <t xml:space="preserve">  1 16  07010 10 0000 140</t>
  </si>
  <si>
    <t>99 9 01 S4840</t>
  </si>
  <si>
    <t>Поддержка развития общественной инфраструктуры муниципального значения</t>
  </si>
  <si>
    <t xml:space="preserve">    от  "16" декабря  2019 года № 131 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</si>
  <si>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</si>
  <si>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</si>
  <si>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</si>
  <si>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</si>
  <si>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</si>
  <si>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</si>
  <si>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</si>
  <si>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2 02 25555 10 0000 150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</si>
  <si>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</si>
  <si>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</si>
  <si>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</si>
  <si>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</si>
  <si>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</si>
  <si>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</si>
  <si>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2 04 05099 10 0000 150</t>
  </si>
  <si>
    <t>Субсидии бюджетам сельских поселений на реализацию программ формирования современной городской среды</t>
  </si>
  <si>
    <t>Прочие безвозмездные поступления от негосударственных организаций в бюджеты сельских поселений</t>
  </si>
  <si>
    <t>Приложение  №4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</si>
  <si>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</si>
  <si>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</si>
  <si>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27 001 00000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</si>
  <si>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</si>
  <si>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</si>
  <si>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</si>
  <si>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"30 " марта  2020 года № 159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</si>
</sst>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1" formatCode="_-* #,##0_р_._-;\-* #,##0_р_._-;_-* &quot;-&quot;_р_.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(* #,##0.00_);_(* \(#,##0.00\);_(* &quot;-&quot;??_);_(@_)"/>
    <numFmt numFmtId="166" formatCode="0.000"/>
    <numFmt numFmtId="167" formatCode="_(* #,##0.000_);_(* \(#,##0.000\);_(* &quot;-&quot;??_);_(@_)"/>
    <numFmt numFmtId="168" formatCode="#,##0.000"/>
    <numFmt numFmtId="169" formatCode="?"/>
    <numFmt numFmtId="170" formatCode="_(&quot;$&quot;* #,##0.00_);_(&quot;$&quot;* \(#,##0.00\);_(&quot;$&quot;* &quot;-&quot;??_);_(@_)"/>
    <numFmt numFmtId="171" formatCode="_-* #,##0.000_р_._-;\-* #,##0.000_р_._-;_-* &quot;-&quot;???_р_._-;_-@_-"/>
    <numFmt numFmtId="172" formatCode="000000"/>
    <numFmt numFmtId="173" formatCode="00000\-0000"/>
    <numFmt numFmtId="174" formatCode="#,##0.00000"/>
    <numFmt numFmtId="175" formatCode="#,##0.000_ ;\-#,##0.000\ "/>
    <numFmt numFmtId="176" formatCode="_-* #,##0.000_р_._-;\-* #,##0.000_р_._-;_-* &quot;-&quot;??_р_._-;_-@_-"/>
    <numFmt numFmtId="177" formatCode="_-* #,##0.00000_р_._-;\-* #,##0.00000_р_._-;_-* &quot;-&quot;??_р_._-;_-@_-"/>
    <numFmt numFmtId="178" formatCode="#,##0.00_ ;[Red]\-#,##0.00\ "/>
    <numFmt numFmtId="179" formatCode="#,##0.0000"/>
    <numFmt numFmtId="180" formatCode="_-* #,##0.00000_р_._-;\-* #,##0.00000_р_._-;_-* &quot;-&quot;???_р_._-;_-@_-"/>
    <numFmt numFmtId="181" formatCode="_-* #,##0.00000_р_._-;\-* #,##0.00000_р_._-;_-* &quot;-&quot;?????_р_._-;_-@_-"/>
    <numFmt numFmtId="182" formatCode="_-* #,##0.000\ _₽_-;\-* #,##0.000\ _₽_-;_-* &quot;-&quot;???\ _₽_-;_-@_-"/>
  </numFmts>
  <fonts count="106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</borders>
  <cellStyleXfs count="52">
    <xf numFmtId="0" fontId="0" fillId="0" borderId="0"/>
    <xf numFmtId="165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5" fillId="0" borderId="0"/>
    <xf numFmtId="0" fontId="7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49" fillId="0" borderId="0"/>
    <xf numFmtId="170" fontId="49" fillId="0" borderId="0" applyFont="0" applyFill="0" applyBorder="0" applyAlignment="0" applyProtection="0"/>
    <xf numFmtId="0" fontId="49" fillId="0" borderId="0"/>
    <xf numFmtId="0" fontId="6" fillId="0" borderId="0"/>
    <xf numFmtId="17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2840">
    <xf numFmtId="0" fontId="0" fillId="0" borderId="0" xfId="0"/>
    <xf numFmtId="0" fontId="6" fillId="0" borderId="0" xfId="3" applyFont="1" applyFill="1"/>
    <xf numFmtId="0" fontId="6" fillId="0" borderId="0" xfId="3" applyFont="1" applyFill="1" applyBorder="1"/>
    <xf numFmtId="166" fontId="6" fillId="0" borderId="0" xfId="1" applyNumberFormat="1" applyFont="1" applyFill="1" applyAlignment="1">
      <alignment horizontal="right"/>
    </xf>
    <xf numFmtId="0" fontId="6" fillId="0" borderId="0" xfId="3" applyFont="1" applyFill="1" applyAlignment="1">
      <alignment horizontal="center" vertical="center"/>
    </xf>
    <xf numFmtId="0" fontId="6" fillId="0" borderId="0" xfId="3" applyFont="1" applyFill="1" applyAlignment="1">
      <alignment horizontal="center"/>
    </xf>
    <xf numFmtId="0" fontId="6" fillId="0" borderId="0" xfId="3" applyFont="1" applyFill="1" applyAlignment="1">
      <alignment horizontal="left" vertical="center"/>
    </xf>
    <xf numFmtId="166" fontId="8" fillId="0" borderId="1" xfId="1" applyNumberFormat="1" applyFont="1" applyFill="1" applyBorder="1" applyAlignment="1">
      <alignment horizontal="right" vertical="center" wrapText="1"/>
    </xf>
    <xf numFmtId="166" fontId="6" fillId="0" borderId="1" xfId="1" applyNumberFormat="1" applyFont="1" applyFill="1" applyBorder="1" applyAlignment="1">
      <alignment horizontal="right"/>
    </xf>
    <xf numFmtId="49" fontId="8" fillId="0" borderId="1" xfId="3" applyNumberFormat="1" applyFont="1" applyFill="1" applyBorder="1" applyAlignment="1">
      <alignment horizontal="center" vertical="center" wrapText="1"/>
    </xf>
    <xf numFmtId="49" fontId="9" fillId="0" borderId="1" xfId="3" applyNumberFormat="1" applyFont="1" applyFill="1" applyBorder="1" applyAlignment="1" applyProtection="1">
      <alignment horizontal="center" vertical="center" wrapText="1"/>
    </xf>
    <xf numFmtId="0" fontId="6" fillId="0" borderId="1" xfId="3" applyFont="1" applyFill="1" applyBorder="1" applyAlignment="1">
      <alignment horizontal="center" vertical="center"/>
    </xf>
    <xf numFmtId="0" fontId="6" fillId="0" borderId="1" xfId="3" applyFont="1" applyFill="1" applyBorder="1" applyAlignment="1">
      <alignment horizontal="left" vertical="center"/>
    </xf>
    <xf numFmtId="0" fontId="6" fillId="0" borderId="1" xfId="3" applyFont="1" applyFill="1" applyBorder="1"/>
    <xf numFmtId="166" fontId="9" fillId="0" borderId="1" xfId="1" applyNumberFormat="1" applyFont="1" applyFill="1" applyBorder="1" applyAlignment="1">
      <alignment horizontal="right"/>
    </xf>
    <xf numFmtId="0" fontId="9" fillId="0" borderId="1" xfId="0" applyFont="1" applyFill="1" applyBorder="1" applyAlignment="1">
      <alignment horizontal="justify" vertical="top" wrapText="1"/>
    </xf>
    <xf numFmtId="0" fontId="9" fillId="0" borderId="1" xfId="0" applyFont="1" applyFill="1" applyBorder="1"/>
    <xf numFmtId="166" fontId="10" fillId="0" borderId="2" xfId="1" applyNumberFormat="1" applyFont="1" applyFill="1" applyBorder="1" applyAlignment="1">
      <alignment horizontal="right"/>
    </xf>
    <xf numFmtId="166" fontId="11" fillId="0" borderId="2" xfId="1" applyNumberFormat="1" applyFont="1" applyFill="1" applyBorder="1" applyAlignment="1">
      <alignment horizontal="right"/>
    </xf>
    <xf numFmtId="166" fontId="6" fillId="0" borderId="2" xfId="1" applyNumberFormat="1" applyFont="1" applyFill="1" applyBorder="1" applyAlignment="1">
      <alignment horizontal="right"/>
    </xf>
    <xf numFmtId="0" fontId="6" fillId="0" borderId="2" xfId="3" applyFont="1" applyFill="1" applyBorder="1" applyAlignment="1">
      <alignment horizontal="center" vertical="center"/>
    </xf>
    <xf numFmtId="49" fontId="10" fillId="0" borderId="2" xfId="3" applyNumberFormat="1" applyFont="1" applyFill="1" applyBorder="1" applyAlignment="1" applyProtection="1">
      <alignment horizontal="center" vertical="center" wrapText="1"/>
    </xf>
    <xf numFmtId="0" fontId="6" fillId="0" borderId="2" xfId="3" applyFont="1" applyFill="1" applyBorder="1" applyAlignment="1">
      <alignment horizontal="center"/>
    </xf>
    <xf numFmtId="0" fontId="9" fillId="0" borderId="2" xfId="3" applyNumberFormat="1" applyFont="1" applyFill="1" applyBorder="1" applyAlignment="1" applyProtection="1">
      <alignment horizontal="left" vertical="center" wrapText="1"/>
    </xf>
    <xf numFmtId="0" fontId="6" fillId="0" borderId="2" xfId="3" applyFont="1" applyFill="1" applyBorder="1"/>
    <xf numFmtId="49" fontId="8" fillId="0" borderId="4" xfId="3" applyNumberFormat="1" applyFont="1" applyFill="1" applyBorder="1" applyAlignment="1">
      <alignment horizontal="center" vertical="center" wrapText="1"/>
    </xf>
    <xf numFmtId="0" fontId="6" fillId="0" borderId="5" xfId="3" applyFont="1" applyFill="1" applyBorder="1"/>
    <xf numFmtId="168" fontId="9" fillId="0" borderId="6" xfId="3" applyNumberFormat="1" applyFont="1" applyFill="1" applyBorder="1" applyAlignment="1">
      <alignment horizontal="right" vertical="center" wrapText="1"/>
    </xf>
    <xf numFmtId="168" fontId="9" fillId="0" borderId="7" xfId="3" applyNumberFormat="1" applyFont="1" applyFill="1" applyBorder="1" applyAlignment="1">
      <alignment horizontal="right" vertical="center" wrapText="1"/>
    </xf>
    <xf numFmtId="168" fontId="9" fillId="0" borderId="1" xfId="3" applyNumberFormat="1" applyFont="1" applyFill="1" applyBorder="1"/>
    <xf numFmtId="168" fontId="12" fillId="0" borderId="1" xfId="3" applyNumberFormat="1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6" fillId="0" borderId="8" xfId="3" applyFont="1" applyFill="1" applyBorder="1"/>
    <xf numFmtId="49" fontId="9" fillId="0" borderId="1" xfId="3" applyNumberFormat="1" applyFont="1" applyFill="1" applyBorder="1" applyAlignment="1">
      <alignment horizontal="center" vertical="center" wrapText="1"/>
    </xf>
    <xf numFmtId="49" fontId="13" fillId="0" borderId="1" xfId="3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166" fontId="10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 applyProtection="1">
      <alignment horizontal="center" vertical="center" wrapText="1"/>
    </xf>
    <xf numFmtId="0" fontId="9" fillId="0" borderId="1" xfId="3" applyNumberFormat="1" applyFont="1" applyFill="1" applyBorder="1" applyAlignment="1" applyProtection="1">
      <alignment horizontal="left" vertical="center" wrapText="1"/>
    </xf>
    <xf numFmtId="0" fontId="9" fillId="0" borderId="10" xfId="0" applyFont="1" applyFill="1" applyBorder="1"/>
    <xf numFmtId="0" fontId="6" fillId="0" borderId="12" xfId="3" applyFont="1" applyFill="1" applyBorder="1"/>
    <xf numFmtId="49" fontId="12" fillId="0" borderId="0" xfId="3" applyNumberFormat="1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horizontal="left" vertical="center" wrapText="1"/>
    </xf>
    <xf numFmtId="0" fontId="6" fillId="0" borderId="15" xfId="3" applyFont="1" applyFill="1" applyBorder="1"/>
    <xf numFmtId="0" fontId="6" fillId="0" borderId="16" xfId="3" applyFont="1" applyFill="1" applyBorder="1"/>
    <xf numFmtId="49" fontId="12" fillId="0" borderId="16" xfId="3" applyNumberFormat="1" applyFont="1" applyFill="1" applyBorder="1" applyAlignment="1">
      <alignment horizontal="center" vertical="center" wrapText="1"/>
    </xf>
    <xf numFmtId="168" fontId="8" fillId="0" borderId="9" xfId="3" applyNumberFormat="1" applyFont="1" applyFill="1" applyBorder="1" applyAlignment="1">
      <alignment vertical="center" wrapText="1"/>
    </xf>
    <xf numFmtId="168" fontId="8" fillId="0" borderId="1" xfId="3" applyNumberFormat="1" applyFont="1" applyFill="1" applyBorder="1" applyAlignment="1">
      <alignment vertical="center" wrapText="1"/>
    </xf>
    <xf numFmtId="49" fontId="8" fillId="0" borderId="1" xfId="3" applyNumberFormat="1" applyFont="1" applyFill="1" applyBorder="1" applyAlignment="1">
      <alignment vertical="center" wrapText="1"/>
    </xf>
    <xf numFmtId="0" fontId="8" fillId="0" borderId="7" xfId="3" applyFont="1" applyFill="1" applyBorder="1" applyAlignment="1">
      <alignment horizontal="left" vertical="center" wrapText="1"/>
    </xf>
    <xf numFmtId="168" fontId="13" fillId="0" borderId="9" xfId="3" applyNumberFormat="1" applyFont="1" applyFill="1" applyBorder="1" applyAlignment="1">
      <alignment vertical="center" wrapText="1"/>
    </xf>
    <xf numFmtId="168" fontId="13" fillId="0" borderId="1" xfId="3" applyNumberFormat="1" applyFont="1" applyFill="1" applyBorder="1" applyAlignment="1">
      <alignment vertical="center" wrapText="1"/>
    </xf>
    <xf numFmtId="0" fontId="13" fillId="0" borderId="7" xfId="3" applyFont="1" applyFill="1" applyBorder="1" applyAlignment="1">
      <alignment horizontal="left" vertical="center" wrapText="1"/>
    </xf>
    <xf numFmtId="167" fontId="8" fillId="0" borderId="1" xfId="1" applyNumberFormat="1" applyFont="1" applyFill="1" applyBorder="1" applyAlignment="1">
      <alignment horizontal="right" vertical="center" wrapText="1"/>
    </xf>
    <xf numFmtId="168" fontId="9" fillId="0" borderId="1" xfId="3" applyNumberFormat="1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justify" vertical="top" wrapText="1"/>
    </xf>
    <xf numFmtId="168" fontId="8" fillId="0" borderId="17" xfId="3" applyNumberFormat="1" applyFont="1" applyFill="1" applyBorder="1" applyAlignment="1">
      <alignment horizontal="right" vertical="center" wrapText="1"/>
    </xf>
    <xf numFmtId="168" fontId="8" fillId="0" borderId="18" xfId="3" applyNumberFormat="1" applyFont="1" applyFill="1" applyBorder="1" applyAlignment="1">
      <alignment horizontal="right" vertical="center" wrapText="1"/>
    </xf>
    <xf numFmtId="0" fontId="8" fillId="0" borderId="7" xfId="3" applyFont="1" applyFill="1" applyBorder="1" applyAlignment="1">
      <alignment vertical="top" wrapText="1"/>
    </xf>
    <xf numFmtId="168" fontId="6" fillId="0" borderId="7" xfId="3" applyNumberFormat="1" applyFont="1" applyFill="1" applyBorder="1"/>
    <xf numFmtId="168" fontId="6" fillId="0" borderId="1" xfId="3" applyNumberFormat="1" applyFont="1" applyFill="1" applyBorder="1"/>
    <xf numFmtId="168" fontId="8" fillId="0" borderId="10" xfId="3" applyNumberFormat="1" applyFont="1" applyFill="1" applyBorder="1" applyAlignment="1">
      <alignment vertical="center" wrapText="1"/>
    </xf>
    <xf numFmtId="168" fontId="10" fillId="0" borderId="17" xfId="3" applyNumberFormat="1" applyFont="1" applyFill="1" applyBorder="1" applyAlignment="1">
      <alignment horizontal="right" vertical="center" wrapText="1"/>
    </xf>
    <xf numFmtId="168" fontId="10" fillId="0" borderId="18" xfId="3" applyNumberFormat="1" applyFont="1" applyFill="1" applyBorder="1" applyAlignment="1">
      <alignment horizontal="right" vertical="center" wrapText="1"/>
    </xf>
    <xf numFmtId="168" fontId="9" fillId="0" borderId="18" xfId="3" applyNumberFormat="1" applyFont="1" applyFill="1" applyBorder="1" applyAlignment="1">
      <alignment horizontal="right" vertical="center" wrapText="1"/>
    </xf>
    <xf numFmtId="168" fontId="12" fillId="0" borderId="10" xfId="3" applyNumberFormat="1" applyFont="1" applyFill="1" applyBorder="1" applyAlignment="1">
      <alignment horizontal="center" vertical="center" wrapText="1"/>
    </xf>
    <xf numFmtId="0" fontId="9" fillId="0" borderId="7" xfId="4" applyFont="1" applyFill="1" applyBorder="1" applyAlignment="1">
      <alignment vertical="top" wrapText="1"/>
    </xf>
    <xf numFmtId="167" fontId="8" fillId="0" borderId="1" xfId="1" applyNumberFormat="1" applyFont="1" applyFill="1" applyBorder="1" applyAlignment="1">
      <alignment vertical="center" wrapText="1"/>
    </xf>
    <xf numFmtId="166" fontId="8" fillId="0" borderId="18" xfId="1" applyNumberFormat="1" applyFont="1" applyFill="1" applyBorder="1" applyAlignment="1">
      <alignment horizontal="right" vertical="center" wrapText="1"/>
    </xf>
    <xf numFmtId="166" fontId="8" fillId="0" borderId="10" xfId="1" applyNumberFormat="1" applyFont="1" applyFill="1" applyBorder="1" applyAlignment="1">
      <alignment horizontal="right" vertical="center" wrapText="1"/>
    </xf>
    <xf numFmtId="0" fontId="15" fillId="0" borderId="7" xfId="3" applyFont="1" applyFill="1" applyBorder="1" applyAlignment="1">
      <alignment horizontal="left" vertical="center" wrapText="1"/>
    </xf>
    <xf numFmtId="167" fontId="8" fillId="0" borderId="15" xfId="1" applyNumberFormat="1" applyFont="1" applyFill="1" applyBorder="1" applyAlignment="1">
      <alignment horizontal="right" vertical="center" wrapText="1"/>
    </xf>
    <xf numFmtId="168" fontId="9" fillId="0" borderId="0" xfId="3" applyNumberFormat="1" applyFont="1" applyFill="1" applyBorder="1" applyAlignment="1">
      <alignment horizontal="right" vertical="center"/>
    </xf>
    <xf numFmtId="49" fontId="8" fillId="0" borderId="0" xfId="3" applyNumberFormat="1" applyFont="1" applyFill="1" applyBorder="1" applyAlignment="1">
      <alignment vertical="center" wrapText="1"/>
    </xf>
    <xf numFmtId="167" fontId="8" fillId="0" borderId="0" xfId="1" applyNumberFormat="1" applyFont="1" applyFill="1" applyBorder="1" applyAlignment="1">
      <alignment horizontal="right" vertical="center" wrapText="1"/>
    </xf>
    <xf numFmtId="49" fontId="8" fillId="0" borderId="0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left" vertical="center" wrapText="1"/>
    </xf>
    <xf numFmtId="0" fontId="9" fillId="0" borderId="1" xfId="3" applyFont="1" applyFill="1" applyBorder="1" applyAlignment="1">
      <alignment horizontal="center" vertical="center"/>
    </xf>
    <xf numFmtId="166" fontId="13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/>
    </xf>
    <xf numFmtId="168" fontId="10" fillId="0" borderId="6" xfId="3" applyNumberFormat="1" applyFont="1" applyFill="1" applyBorder="1" applyAlignment="1">
      <alignment horizontal="right" vertical="center" wrapText="1"/>
    </xf>
    <xf numFmtId="168" fontId="10" fillId="0" borderId="7" xfId="3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wrapText="1"/>
    </xf>
    <xf numFmtId="0" fontId="16" fillId="0" borderId="0" xfId="3" applyFont="1" applyFill="1"/>
    <xf numFmtId="0" fontId="16" fillId="0" borderId="0" xfId="3" applyFont="1" applyFill="1" applyBorder="1"/>
    <xf numFmtId="0" fontId="16" fillId="0" borderId="8" xfId="3" applyFont="1" applyFill="1" applyBorder="1"/>
    <xf numFmtId="0" fontId="9" fillId="0" borderId="0" xfId="0" applyFont="1" applyFill="1" applyBorder="1"/>
    <xf numFmtId="167" fontId="13" fillId="0" borderId="1" xfId="1" applyNumberFormat="1" applyFont="1" applyFill="1" applyBorder="1" applyAlignment="1">
      <alignment horizontal="right" vertical="center" wrapText="1"/>
    </xf>
    <xf numFmtId="0" fontId="8" fillId="0" borderId="1" xfId="3" applyFont="1" applyFill="1" applyBorder="1" applyAlignment="1">
      <alignment horizontal="center" vertical="center" wrapText="1"/>
    </xf>
    <xf numFmtId="49" fontId="10" fillId="0" borderId="1" xfId="3" applyNumberFormat="1" applyFont="1" applyFill="1" applyBorder="1" applyAlignment="1">
      <alignment horizontal="center" vertical="center" wrapText="1"/>
    </xf>
    <xf numFmtId="0" fontId="9" fillId="0" borderId="7" xfId="3" applyFont="1" applyFill="1" applyBorder="1" applyAlignment="1">
      <alignment horizontal="left" vertical="center" wrapText="1"/>
    </xf>
    <xf numFmtId="0" fontId="11" fillId="0" borderId="8" xfId="3" applyFont="1" applyFill="1" applyBorder="1" applyAlignment="1">
      <alignment horizontal="center" vertical="center"/>
    </xf>
    <xf numFmtId="167" fontId="10" fillId="0" borderId="1" xfId="1" applyNumberFormat="1" applyFont="1" applyFill="1" applyBorder="1" applyAlignment="1">
      <alignment horizontal="right" vertical="center" wrapText="1"/>
    </xf>
    <xf numFmtId="167" fontId="9" fillId="0" borderId="1" xfId="1" applyNumberFormat="1" applyFont="1" applyFill="1" applyBorder="1" applyAlignment="1">
      <alignment horizontal="right" vertical="center" wrapText="1"/>
    </xf>
    <xf numFmtId="0" fontId="13" fillId="0" borderId="1" xfId="3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wrapText="1"/>
    </xf>
    <xf numFmtId="168" fontId="13" fillId="0" borderId="9" xfId="1" applyNumberFormat="1" applyFont="1" applyFill="1" applyBorder="1" applyAlignment="1">
      <alignment horizontal="right" vertical="center" wrapText="1"/>
    </xf>
    <xf numFmtId="168" fontId="13" fillId="0" borderId="1" xfId="1" applyNumberFormat="1" applyFont="1" applyFill="1" applyBorder="1" applyAlignment="1">
      <alignment horizontal="right" vertical="center" wrapText="1"/>
    </xf>
    <xf numFmtId="166" fontId="8" fillId="0" borderId="0" xfId="1" applyNumberFormat="1" applyFont="1" applyFill="1" applyBorder="1" applyAlignment="1">
      <alignment horizontal="right" vertical="center" wrapText="1"/>
    </xf>
    <xf numFmtId="49" fontId="9" fillId="0" borderId="19" xfId="5" applyNumberFormat="1" applyFont="1" applyFill="1" applyBorder="1" applyAlignment="1">
      <alignment vertical="center" wrapText="1"/>
    </xf>
    <xf numFmtId="0" fontId="9" fillId="0" borderId="0" xfId="0" applyFont="1" applyFill="1" applyBorder="1" applyAlignment="1">
      <alignment wrapText="1"/>
    </xf>
    <xf numFmtId="166" fontId="10" fillId="0" borderId="1" xfId="1" applyNumberFormat="1" applyFont="1" applyFill="1" applyBorder="1" applyAlignment="1">
      <alignment horizontal="right" vertical="center" wrapText="1"/>
    </xf>
    <xf numFmtId="0" fontId="17" fillId="0" borderId="7" xfId="4" applyFont="1" applyFill="1" applyBorder="1" applyAlignment="1">
      <alignment horizontal="left" vertical="center" wrapText="1"/>
    </xf>
    <xf numFmtId="166" fontId="9" fillId="0" borderId="1" xfId="1" applyNumberFormat="1" applyFont="1" applyFill="1" applyBorder="1" applyAlignment="1">
      <alignment horizontal="right" vertical="center" wrapText="1"/>
    </xf>
    <xf numFmtId="0" fontId="9" fillId="0" borderId="1" xfId="4" applyFont="1" applyFill="1" applyBorder="1" applyAlignment="1">
      <alignment horizontal="left" vertical="center" wrapText="1"/>
    </xf>
    <xf numFmtId="0" fontId="9" fillId="0" borderId="7" xfId="3" applyNumberFormat="1" applyFont="1" applyFill="1" applyBorder="1" applyAlignment="1" applyProtection="1">
      <alignment horizontal="left" vertical="center" wrapText="1"/>
    </xf>
    <xf numFmtId="0" fontId="9" fillId="0" borderId="7" xfId="0" applyFont="1" applyFill="1" applyBorder="1"/>
    <xf numFmtId="0" fontId="9" fillId="0" borderId="7" xfId="3" applyNumberFormat="1" applyFont="1" applyFill="1" applyBorder="1" applyAlignment="1">
      <alignment horizontal="left" vertical="center" wrapText="1" shrinkToFit="1"/>
    </xf>
    <xf numFmtId="169" fontId="9" fillId="0" borderId="1" xfId="4" applyNumberFormat="1" applyFont="1" applyFill="1" applyBorder="1" applyAlignment="1" applyProtection="1">
      <alignment horizontal="left" vertical="center" wrapText="1"/>
    </xf>
    <xf numFmtId="169" fontId="9" fillId="0" borderId="7" xfId="3" applyNumberFormat="1" applyFont="1" applyFill="1" applyBorder="1" applyAlignment="1">
      <alignment horizontal="left" vertical="center" wrapText="1"/>
    </xf>
    <xf numFmtId="169" fontId="9" fillId="0" borderId="7" xfId="3" applyNumberFormat="1" applyFont="1" applyFill="1" applyBorder="1" applyAlignment="1" applyProtection="1">
      <alignment horizontal="left" vertical="center" wrapText="1"/>
    </xf>
    <xf numFmtId="0" fontId="9" fillId="0" borderId="7" xfId="3" applyNumberFormat="1" applyFont="1" applyFill="1" applyBorder="1" applyAlignment="1" applyProtection="1">
      <alignment horizontal="left" vertical="center" wrapText="1" shrinkToFit="1"/>
    </xf>
    <xf numFmtId="0" fontId="9" fillId="0" borderId="1" xfId="3" applyNumberFormat="1" applyFont="1" applyFill="1" applyBorder="1" applyAlignment="1">
      <alignment horizontal="center" vertical="center" wrapText="1"/>
    </xf>
    <xf numFmtId="0" fontId="10" fillId="0" borderId="1" xfId="3" applyNumberFormat="1" applyFont="1" applyFill="1" applyBorder="1" applyAlignment="1">
      <alignment horizontal="center" vertical="center" wrapText="1"/>
    </xf>
    <xf numFmtId="0" fontId="9" fillId="0" borderId="7" xfId="4" applyFont="1" applyFill="1" applyBorder="1" applyAlignment="1">
      <alignment horizontal="left" vertical="center" wrapText="1"/>
    </xf>
    <xf numFmtId="0" fontId="9" fillId="0" borderId="1" xfId="4" applyNumberFormat="1" applyFont="1" applyFill="1" applyBorder="1" applyAlignment="1" applyProtection="1">
      <alignment horizontal="left" vertical="center" wrapText="1"/>
    </xf>
    <xf numFmtId="166" fontId="9" fillId="0" borderId="1" xfId="1" applyNumberFormat="1" applyFont="1" applyFill="1" applyBorder="1" applyAlignment="1">
      <alignment vertical="center"/>
    </xf>
    <xf numFmtId="167" fontId="9" fillId="0" borderId="1" xfId="1" applyNumberFormat="1" applyFont="1" applyFill="1" applyBorder="1" applyAlignment="1">
      <alignment vertical="center"/>
    </xf>
    <xf numFmtId="0" fontId="10" fillId="0" borderId="1" xfId="3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 vertical="center" wrapText="1"/>
    </xf>
    <xf numFmtId="167" fontId="6" fillId="0" borderId="1" xfId="1" applyNumberFormat="1" applyFont="1" applyFill="1" applyBorder="1" applyAlignment="1">
      <alignment vertical="center"/>
    </xf>
    <xf numFmtId="166" fontId="18" fillId="0" borderId="1" xfId="3" applyNumberFormat="1" applyFont="1" applyFill="1" applyBorder="1" applyAlignment="1">
      <alignment vertical="center"/>
    </xf>
    <xf numFmtId="168" fontId="9" fillId="0" borderId="9" xfId="1" applyNumberFormat="1" applyFont="1" applyFill="1" applyBorder="1" applyAlignment="1">
      <alignment horizontal="right" vertical="center" wrapText="1"/>
    </xf>
    <xf numFmtId="168" fontId="9" fillId="0" borderId="1" xfId="1" applyNumberFormat="1" applyFont="1" applyFill="1" applyBorder="1" applyAlignment="1">
      <alignment horizontal="right" vertical="center" wrapText="1"/>
    </xf>
    <xf numFmtId="168" fontId="10" fillId="0" borderId="9" xfId="1" applyNumberFormat="1" applyFont="1" applyFill="1" applyBorder="1" applyAlignment="1">
      <alignment horizontal="righ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horizontal="left" vertical="center" wrapText="1"/>
    </xf>
    <xf numFmtId="168" fontId="13" fillId="0" borderId="9" xfId="1" applyNumberFormat="1" applyFont="1" applyFill="1" applyBorder="1" applyAlignment="1" applyProtection="1">
      <alignment horizontal="right" vertical="center" wrapText="1"/>
      <protection locked="0"/>
    </xf>
    <xf numFmtId="168" fontId="13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19" fillId="0" borderId="7" xfId="0" applyFont="1" applyFill="1" applyBorder="1" applyAlignment="1">
      <alignment horizontal="left" vertical="center"/>
    </xf>
    <xf numFmtId="49" fontId="13" fillId="0" borderId="0" xfId="3" applyNumberFormat="1" applyFont="1" applyFill="1" applyBorder="1" applyAlignment="1">
      <alignment vertical="center" wrapText="1"/>
    </xf>
    <xf numFmtId="49" fontId="13" fillId="0" borderId="1" xfId="3" applyNumberFormat="1" applyFont="1" applyFill="1" applyBorder="1" applyAlignment="1">
      <alignment vertical="center" wrapText="1"/>
    </xf>
    <xf numFmtId="0" fontId="13" fillId="0" borderId="7" xfId="3" applyFont="1" applyFill="1" applyBorder="1" applyAlignment="1">
      <alignment vertical="top" wrapText="1"/>
    </xf>
    <xf numFmtId="0" fontId="8" fillId="0" borderId="7" xfId="3" applyFont="1" applyFill="1" applyBorder="1" applyAlignment="1">
      <alignment horizontal="center" vertical="center" wrapText="1"/>
    </xf>
    <xf numFmtId="0" fontId="10" fillId="0" borderId="7" xfId="3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left" vertical="center" wrapText="1"/>
    </xf>
    <xf numFmtId="167" fontId="13" fillId="0" borderId="1" xfId="1" applyNumberFormat="1" applyFont="1" applyFill="1" applyBorder="1" applyAlignment="1">
      <alignment vertical="center" wrapText="1"/>
    </xf>
    <xf numFmtId="165" fontId="8" fillId="0" borderId="1" xfId="1" applyFont="1" applyFill="1" applyBorder="1" applyAlignment="1">
      <alignment horizontal="right" vertical="center" wrapText="1"/>
    </xf>
    <xf numFmtId="165" fontId="13" fillId="0" borderId="1" xfId="1" applyFont="1" applyFill="1" applyBorder="1" applyAlignment="1">
      <alignment horizontal="right" vertical="center" wrapText="1"/>
    </xf>
    <xf numFmtId="167" fontId="8" fillId="0" borderId="2" xfId="1" applyNumberFormat="1" applyFont="1" applyFill="1" applyBorder="1" applyAlignment="1">
      <alignment horizontal="right" vertical="center" wrapText="1"/>
    </xf>
    <xf numFmtId="166" fontId="13" fillId="0" borderId="2" xfId="1" applyNumberFormat="1" applyFont="1" applyFill="1" applyBorder="1" applyAlignment="1">
      <alignment horizontal="right" vertical="center" wrapText="1"/>
    </xf>
    <xf numFmtId="165" fontId="13" fillId="0" borderId="2" xfId="1" applyFont="1" applyFill="1" applyBorder="1" applyAlignment="1">
      <alignment horizontal="right" vertical="center" wrapText="1"/>
    </xf>
    <xf numFmtId="49" fontId="8" fillId="0" borderId="2" xfId="3" applyNumberFormat="1" applyFont="1" applyFill="1" applyBorder="1" applyAlignment="1">
      <alignment horizontal="center" vertical="center" wrapText="1"/>
    </xf>
    <xf numFmtId="0" fontId="8" fillId="0" borderId="2" xfId="3" applyFont="1" applyFill="1" applyBorder="1" applyAlignment="1">
      <alignment horizontal="center" vertical="center" wrapText="1"/>
    </xf>
    <xf numFmtId="0" fontId="8" fillId="0" borderId="18" xfId="3" applyFont="1" applyFill="1" applyBorder="1" applyAlignment="1">
      <alignment vertical="top" wrapText="1"/>
    </xf>
    <xf numFmtId="0" fontId="6" fillId="0" borderId="21" xfId="3" applyFont="1" applyFill="1" applyBorder="1"/>
    <xf numFmtId="0" fontId="17" fillId="0" borderId="0" xfId="4" applyFont="1" applyFill="1" applyBorder="1" applyAlignment="1">
      <alignment horizontal="left" vertical="center" wrapText="1"/>
    </xf>
    <xf numFmtId="167" fontId="9" fillId="0" borderId="1" xfId="4" applyNumberFormat="1" applyFont="1" applyFill="1" applyBorder="1" applyAlignment="1">
      <alignment horizontal="left" vertical="center" wrapText="1"/>
    </xf>
    <xf numFmtId="0" fontId="17" fillId="0" borderId="1" xfId="4" applyFont="1" applyFill="1" applyBorder="1" applyAlignment="1">
      <alignment horizontal="left" vertical="center" wrapText="1"/>
    </xf>
    <xf numFmtId="0" fontId="17" fillId="0" borderId="8" xfId="4" applyFont="1" applyFill="1" applyBorder="1" applyAlignment="1">
      <alignment horizontal="left" vertical="center" wrapText="1"/>
    </xf>
    <xf numFmtId="168" fontId="13" fillId="0" borderId="15" xfId="3" applyNumberFormat="1" applyFont="1" applyFill="1" applyBorder="1" applyAlignment="1">
      <alignment vertical="center" wrapText="1"/>
    </xf>
    <xf numFmtId="168" fontId="13" fillId="0" borderId="23" xfId="3" applyNumberFormat="1" applyFont="1" applyFill="1" applyBorder="1" applyAlignment="1">
      <alignment vertical="center" wrapText="1"/>
    </xf>
    <xf numFmtId="49" fontId="13" fillId="0" borderId="23" xfId="3" applyNumberFormat="1" applyFont="1" applyFill="1" applyBorder="1" applyAlignment="1">
      <alignment horizontal="center" vertical="center" wrapText="1"/>
    </xf>
    <xf numFmtId="49" fontId="13" fillId="0" borderId="23" xfId="3" applyNumberFormat="1" applyFont="1" applyFill="1" applyBorder="1" applyAlignment="1">
      <alignment vertical="center" wrapText="1"/>
    </xf>
    <xf numFmtId="0" fontId="13" fillId="0" borderId="23" xfId="3" applyFont="1" applyFill="1" applyBorder="1" applyAlignment="1">
      <alignment horizontal="center" vertical="center" wrapText="1"/>
    </xf>
    <xf numFmtId="0" fontId="13" fillId="0" borderId="15" xfId="3" applyFont="1" applyFill="1" applyBorder="1" applyAlignment="1">
      <alignment vertical="top" wrapText="1"/>
    </xf>
    <xf numFmtId="0" fontId="11" fillId="0" borderId="24" xfId="3" applyFont="1" applyFill="1" applyBorder="1" applyAlignment="1">
      <alignment horizontal="center" vertical="center"/>
    </xf>
    <xf numFmtId="0" fontId="21" fillId="0" borderId="7" xfId="3" applyFont="1" applyFill="1" applyBorder="1" applyAlignment="1">
      <alignment horizontal="left" vertical="center" wrapText="1"/>
    </xf>
    <xf numFmtId="168" fontId="13" fillId="0" borderId="1" xfId="3" applyNumberFormat="1" applyFont="1" applyFill="1" applyBorder="1" applyAlignment="1">
      <alignment horizontal="center" vertical="center" wrapText="1"/>
    </xf>
    <xf numFmtId="166" fontId="8" fillId="0" borderId="7" xfId="1" applyNumberFormat="1" applyFont="1" applyFill="1" applyBorder="1" applyAlignment="1">
      <alignment horizontal="right" vertical="center" wrapText="1"/>
    </xf>
    <xf numFmtId="49" fontId="20" fillId="0" borderId="1" xfId="3" applyNumberFormat="1" applyFont="1" applyFill="1" applyBorder="1" applyAlignment="1">
      <alignment horizontal="center" vertical="center" wrapText="1"/>
    </xf>
    <xf numFmtId="49" fontId="20" fillId="0" borderId="14" xfId="3" applyNumberFormat="1" applyFont="1" applyFill="1" applyBorder="1" applyAlignment="1">
      <alignment horizontal="center" vertical="center" wrapText="1"/>
    </xf>
    <xf numFmtId="0" fontId="19" fillId="0" borderId="0" xfId="3" applyFont="1" applyFill="1"/>
    <xf numFmtId="0" fontId="19" fillId="0" borderId="0" xfId="3" applyFont="1" applyFill="1" applyBorder="1"/>
    <xf numFmtId="0" fontId="9" fillId="0" borderId="7" xfId="3" applyNumberFormat="1" applyFont="1" applyFill="1" applyBorder="1" applyAlignment="1">
      <alignment horizontal="left" vertical="center" wrapText="1"/>
    </xf>
    <xf numFmtId="0" fontId="19" fillId="0" borderId="8" xfId="3" applyFont="1" applyFill="1" applyBorder="1"/>
    <xf numFmtId="165" fontId="9" fillId="0" borderId="1" xfId="1" applyFont="1" applyFill="1" applyBorder="1" applyAlignment="1">
      <alignment horizontal="right" vertical="center" wrapText="1"/>
    </xf>
    <xf numFmtId="0" fontId="8" fillId="0" borderId="7" xfId="3" applyFont="1" applyFill="1" applyBorder="1" applyAlignment="1">
      <alignment wrapText="1"/>
    </xf>
    <xf numFmtId="0" fontId="21" fillId="0" borderId="7" xfId="3" applyFont="1" applyFill="1" applyBorder="1" applyAlignment="1">
      <alignment wrapText="1"/>
    </xf>
    <xf numFmtId="0" fontId="9" fillId="0" borderId="1" xfId="4" applyFont="1" applyFill="1" applyBorder="1" applyAlignment="1">
      <alignment horizontal="left" vertical="top" wrapText="1"/>
    </xf>
    <xf numFmtId="0" fontId="9" fillId="0" borderId="1" xfId="3" applyFont="1" applyFill="1" applyBorder="1" applyAlignment="1">
      <alignment horizontal="left" vertical="center" wrapText="1"/>
    </xf>
    <xf numFmtId="0" fontId="22" fillId="0" borderId="0" xfId="6" applyFont="1" applyFill="1" applyBorder="1" applyAlignment="1"/>
    <xf numFmtId="170" fontId="6" fillId="0" borderId="0" xfId="2" applyFont="1" applyFill="1" applyBorder="1"/>
    <xf numFmtId="167" fontId="13" fillId="0" borderId="7" xfId="1" applyNumberFormat="1" applyFont="1" applyFill="1" applyBorder="1" applyAlignment="1">
      <alignment vertical="center" wrapText="1"/>
    </xf>
    <xf numFmtId="167" fontId="8" fillId="0" borderId="7" xfId="1" applyNumberFormat="1" applyFont="1" applyFill="1" applyBorder="1" applyAlignment="1">
      <alignment vertical="center" wrapText="1"/>
    </xf>
    <xf numFmtId="166" fontId="13" fillId="0" borderId="1" xfId="3" applyNumberFormat="1" applyFont="1" applyFill="1" applyBorder="1" applyAlignment="1">
      <alignment vertical="center" wrapText="1"/>
    </xf>
    <xf numFmtId="167" fontId="13" fillId="0" borderId="7" xfId="1" applyNumberFormat="1" applyFont="1" applyFill="1" applyBorder="1" applyAlignment="1">
      <alignment horizontal="center" vertical="center"/>
    </xf>
    <xf numFmtId="166" fontId="6" fillId="0" borderId="0" xfId="1" applyNumberFormat="1" applyFont="1" applyFill="1" applyBorder="1" applyAlignment="1">
      <alignment horizontal="right"/>
    </xf>
    <xf numFmtId="0" fontId="6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/>
    </xf>
    <xf numFmtId="168" fontId="13" fillId="0" borderId="6" xfId="1" applyNumberFormat="1" applyFont="1" applyFill="1" applyBorder="1" applyAlignment="1">
      <alignment horizontal="right" vertical="center"/>
    </xf>
    <xf numFmtId="168" fontId="13" fillId="0" borderId="7" xfId="1" applyNumberFormat="1" applyFont="1" applyFill="1" applyBorder="1" applyAlignment="1">
      <alignment horizontal="right" vertical="center"/>
    </xf>
    <xf numFmtId="49" fontId="22" fillId="0" borderId="7" xfId="0" applyNumberFormat="1" applyFont="1" applyFill="1" applyBorder="1" applyAlignment="1">
      <alignment horizontal="left" vertical="top" wrapText="1"/>
    </xf>
    <xf numFmtId="166" fontId="13" fillId="0" borderId="26" xfId="1" applyNumberFormat="1" applyFont="1" applyFill="1" applyBorder="1" applyAlignment="1">
      <alignment horizontal="center" vertical="center"/>
    </xf>
    <xf numFmtId="169" fontId="23" fillId="0" borderId="26" xfId="0" applyNumberFormat="1" applyFont="1" applyFill="1" applyBorder="1" applyAlignment="1">
      <alignment horizontal="center" vertical="top" wrapText="1"/>
    </xf>
    <xf numFmtId="166" fontId="6" fillId="0" borderId="27" xfId="1" applyNumberFormat="1" applyFont="1" applyFill="1" applyBorder="1" applyAlignment="1">
      <alignment horizontal="right"/>
    </xf>
    <xf numFmtId="0" fontId="13" fillId="0" borderId="26" xfId="3" applyFont="1" applyFill="1" applyBorder="1" applyAlignment="1">
      <alignment horizontal="center" vertical="center" wrapText="1"/>
    </xf>
    <xf numFmtId="0" fontId="6" fillId="0" borderId="27" xfId="3" applyFont="1" applyFill="1" applyBorder="1" applyAlignment="1">
      <alignment horizontal="center" vertical="center"/>
    </xf>
    <xf numFmtId="0" fontId="6" fillId="0" borderId="27" xfId="3" applyFont="1" applyFill="1" applyBorder="1" applyAlignment="1">
      <alignment horizontal="center"/>
    </xf>
    <xf numFmtId="0" fontId="13" fillId="0" borderId="28" xfId="3" applyFont="1" applyFill="1" applyBorder="1" applyAlignment="1">
      <alignment horizontal="center" vertical="center"/>
    </xf>
    <xf numFmtId="0" fontId="6" fillId="0" borderId="29" xfId="3" applyFont="1" applyFill="1" applyBorder="1"/>
    <xf numFmtId="0" fontId="21" fillId="0" borderId="1" xfId="3" applyFont="1" applyFill="1" applyBorder="1" applyAlignment="1">
      <alignment horizontal="left" vertical="center" wrapText="1"/>
    </xf>
    <xf numFmtId="167" fontId="24" fillId="0" borderId="1" xfId="1" applyNumberFormat="1" applyFont="1" applyFill="1" applyBorder="1" applyAlignment="1">
      <alignment horizontal="right" vertical="center" wrapText="1"/>
    </xf>
    <xf numFmtId="49" fontId="25" fillId="0" borderId="1" xfId="3" applyNumberFormat="1" applyFont="1" applyFill="1" applyBorder="1" applyAlignment="1">
      <alignment horizontal="center" vertical="center" wrapText="1"/>
    </xf>
    <xf numFmtId="0" fontId="25" fillId="0" borderId="7" xfId="3" applyFont="1" applyFill="1" applyBorder="1" applyAlignment="1">
      <alignment horizontal="left" vertical="center" wrapText="1"/>
    </xf>
    <xf numFmtId="0" fontId="9" fillId="0" borderId="0" xfId="0" applyFont="1" applyFill="1"/>
    <xf numFmtId="0" fontId="13" fillId="0" borderId="1" xfId="3" applyFont="1" applyFill="1" applyBorder="1" applyAlignment="1">
      <alignment horizontal="left" vertical="center" wrapText="1"/>
    </xf>
    <xf numFmtId="166" fontId="24" fillId="0" borderId="1" xfId="1" applyNumberFormat="1" applyFont="1" applyFill="1" applyBorder="1" applyAlignment="1">
      <alignment horizontal="right" vertical="center" wrapText="1"/>
    </xf>
    <xf numFmtId="166" fontId="25" fillId="0" borderId="1" xfId="1" applyNumberFormat="1" applyFont="1" applyFill="1" applyBorder="1" applyAlignment="1">
      <alignment horizontal="right" vertical="center" wrapText="1"/>
    </xf>
    <xf numFmtId="0" fontId="26" fillId="0" borderId="0" xfId="3" applyFont="1" applyFill="1" applyAlignment="1">
      <alignment horizontal="center" vertical="center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1" xfId="3" applyNumberFormat="1" applyFont="1" applyFill="1" applyBorder="1" applyAlignment="1">
      <alignment horizontal="center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0" fontId="24" fillId="0" borderId="1" xfId="3" applyFont="1" applyFill="1" applyBorder="1" applyAlignment="1">
      <alignment horizontal="left" vertical="center" wrapText="1"/>
    </xf>
    <xf numFmtId="166" fontId="8" fillId="0" borderId="1" xfId="1" applyNumberFormat="1" applyFont="1" applyFill="1" applyBorder="1" applyAlignment="1">
      <alignment vertical="center" wrapText="1"/>
    </xf>
    <xf numFmtId="168" fontId="13" fillId="0" borderId="7" xfId="3" applyNumberFormat="1" applyFont="1" applyFill="1" applyBorder="1" applyAlignment="1">
      <alignment vertical="center" wrapText="1"/>
    </xf>
    <xf numFmtId="168" fontId="9" fillId="0" borderId="7" xfId="3" applyNumberFormat="1" applyFont="1" applyFill="1" applyBorder="1" applyAlignment="1">
      <alignment horizontal="right" vertical="center"/>
    </xf>
    <xf numFmtId="49" fontId="8" fillId="0" borderId="10" xfId="3" applyNumberFormat="1" applyFont="1" applyFill="1" applyBorder="1" applyAlignment="1">
      <alignment vertical="center" wrapText="1"/>
    </xf>
    <xf numFmtId="0" fontId="9" fillId="0" borderId="0" xfId="0" applyFont="1" applyFill="1" applyAlignment="1">
      <alignment wrapText="1"/>
    </xf>
    <xf numFmtId="168" fontId="8" fillId="0" borderId="14" xfId="3" applyNumberFormat="1" applyFont="1" applyFill="1" applyBorder="1" applyAlignment="1">
      <alignment vertical="center" wrapText="1"/>
    </xf>
    <xf numFmtId="0" fontId="8" fillId="0" borderId="1" xfId="3" applyFont="1" applyFill="1" applyBorder="1" applyAlignment="1">
      <alignment wrapText="1"/>
    </xf>
    <xf numFmtId="0" fontId="21" fillId="0" borderId="1" xfId="3" applyFont="1" applyFill="1" applyBorder="1" applyAlignment="1">
      <alignment wrapText="1"/>
    </xf>
    <xf numFmtId="165" fontId="24" fillId="0" borderId="1" xfId="1" applyFont="1" applyFill="1" applyBorder="1" applyAlignment="1">
      <alignment horizontal="right" vertical="center" wrapText="1"/>
    </xf>
    <xf numFmtId="0" fontId="24" fillId="0" borderId="7" xfId="3" applyFont="1" applyFill="1" applyBorder="1" applyAlignment="1">
      <alignment horizontal="left" vertical="center" wrapText="1"/>
    </xf>
    <xf numFmtId="0" fontId="28" fillId="0" borderId="1" xfId="3" applyFont="1" applyFill="1" applyBorder="1" applyAlignment="1">
      <alignment wrapText="1"/>
    </xf>
    <xf numFmtId="0" fontId="10" fillId="0" borderId="1" xfId="3" applyFont="1" applyFill="1" applyBorder="1" applyAlignment="1">
      <alignment horizontal="lef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166" fontId="27" fillId="0" borderId="1" xfId="1" applyNumberFormat="1" applyFont="1" applyFill="1" applyBorder="1" applyAlignment="1">
      <alignment horizontal="right" vertical="center" wrapText="1"/>
    </xf>
    <xf numFmtId="49" fontId="9" fillId="0" borderId="1" xfId="3" applyNumberFormat="1" applyFont="1" applyFill="1" applyBorder="1" applyAlignment="1" applyProtection="1">
      <alignment horizontal="left" vertical="center" wrapText="1"/>
    </xf>
    <xf numFmtId="49" fontId="9" fillId="0" borderId="7" xfId="3" applyNumberFormat="1" applyFont="1" applyFill="1" applyBorder="1" applyAlignment="1" applyProtection="1">
      <alignment horizontal="left" vertical="center" wrapText="1"/>
    </xf>
    <xf numFmtId="0" fontId="24" fillId="0" borderId="1" xfId="3" applyFont="1" applyFill="1" applyBorder="1" applyAlignment="1">
      <alignment horizontal="center" vertical="center" wrapText="1"/>
    </xf>
    <xf numFmtId="49" fontId="25" fillId="0" borderId="7" xfId="3" applyNumberFormat="1" applyFont="1" applyFill="1" applyBorder="1" applyAlignment="1" applyProtection="1">
      <alignment horizontal="left" vertical="center" wrapText="1"/>
    </xf>
    <xf numFmtId="49" fontId="9" fillId="0" borderId="7" xfId="3" applyNumberFormat="1" applyFont="1" applyFill="1" applyBorder="1" applyAlignment="1">
      <alignment horizontal="left" vertical="center" wrapText="1"/>
    </xf>
    <xf numFmtId="169" fontId="9" fillId="0" borderId="1" xfId="3" applyNumberFormat="1" applyFont="1" applyFill="1" applyBorder="1" applyAlignment="1" applyProtection="1">
      <alignment horizontal="left" vertical="center" wrapText="1"/>
    </xf>
    <xf numFmtId="167" fontId="25" fillId="0" borderId="1" xfId="1" applyNumberFormat="1" applyFont="1" applyFill="1" applyBorder="1" applyAlignment="1">
      <alignment horizontal="right" vertical="center" wrapText="1"/>
    </xf>
    <xf numFmtId="0" fontId="25" fillId="0" borderId="1" xfId="3" applyFont="1" applyFill="1" applyBorder="1" applyAlignment="1">
      <alignment horizontal="center" vertical="center" wrapText="1"/>
    </xf>
    <xf numFmtId="167" fontId="19" fillId="0" borderId="1" xfId="1" applyNumberFormat="1" applyFont="1" applyFill="1" applyBorder="1" applyAlignment="1">
      <alignment horizontal="right" vertical="center" wrapText="1"/>
    </xf>
    <xf numFmtId="166" fontId="19" fillId="0" borderId="1" xfId="1" applyNumberFormat="1" applyFont="1" applyFill="1" applyBorder="1" applyAlignment="1">
      <alignment horizontal="right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left" vertical="center" wrapText="1"/>
    </xf>
    <xf numFmtId="166" fontId="13" fillId="0" borderId="1" xfId="1" applyNumberFormat="1" applyFont="1" applyFill="1" applyBorder="1" applyAlignment="1">
      <alignment horizontal="center" vertical="center"/>
    </xf>
    <xf numFmtId="169" fontId="23" fillId="0" borderId="1" xfId="0" applyNumberFormat="1" applyFont="1" applyFill="1" applyBorder="1" applyAlignment="1">
      <alignment horizontal="center" vertical="top" wrapText="1"/>
    </xf>
    <xf numFmtId="0" fontId="13" fillId="0" borderId="1" xfId="3" applyFont="1" applyFill="1" applyBorder="1" applyAlignment="1">
      <alignment horizontal="center" vertical="center"/>
    </xf>
    <xf numFmtId="166" fontId="29" fillId="0" borderId="0" xfId="1" applyNumberFormat="1" applyFont="1" applyFill="1" applyAlignment="1">
      <alignment horizontal="right"/>
    </xf>
    <xf numFmtId="0" fontId="29" fillId="0" borderId="0" xfId="3" applyFont="1" applyFill="1" applyAlignment="1">
      <alignment horizontal="center" vertical="center"/>
    </xf>
    <xf numFmtId="0" fontId="29" fillId="0" borderId="0" xfId="3" applyFont="1" applyFill="1" applyAlignment="1">
      <alignment horizontal="center"/>
    </xf>
    <xf numFmtId="0" fontId="29" fillId="0" borderId="0" xfId="3" applyFont="1" applyFill="1" applyAlignment="1">
      <alignment horizontal="left" vertical="center"/>
    </xf>
    <xf numFmtId="168" fontId="6" fillId="0" borderId="0" xfId="3" applyNumberFormat="1" applyFont="1" applyFill="1"/>
    <xf numFmtId="0" fontId="29" fillId="0" borderId="0" xfId="3" applyFont="1" applyFill="1" applyAlignment="1">
      <alignment wrapText="1"/>
    </xf>
    <xf numFmtId="0" fontId="6" fillId="0" borderId="0" xfId="3" applyFont="1" applyFill="1" applyAlignment="1">
      <alignment horizontal="right"/>
    </xf>
    <xf numFmtId="171" fontId="30" fillId="0" borderId="0" xfId="3" applyNumberFormat="1" applyFont="1" applyFill="1" applyBorder="1" applyAlignment="1">
      <alignment horizontal="center"/>
    </xf>
    <xf numFmtId="171" fontId="30" fillId="0" borderId="0" xfId="3" applyNumberFormat="1" applyFont="1" applyFill="1" applyBorder="1" applyAlignment="1">
      <alignment horizontal="left"/>
    </xf>
    <xf numFmtId="49" fontId="31" fillId="0" borderId="0" xfId="3" applyNumberFormat="1" applyFont="1" applyFill="1" applyAlignment="1">
      <alignment horizontal="right" vertical="center" wrapText="1"/>
    </xf>
    <xf numFmtId="168" fontId="30" fillId="0" borderId="0" xfId="1" applyNumberFormat="1" applyFont="1" applyFill="1" applyAlignment="1">
      <alignment horizontal="right"/>
    </xf>
    <xf numFmtId="167" fontId="30" fillId="0" borderId="0" xfId="1" applyNumberFormat="1" applyFont="1" applyFill="1"/>
    <xf numFmtId="167" fontId="30" fillId="0" borderId="0" xfId="1" applyNumberFormat="1" applyFont="1" applyFill="1" applyAlignment="1">
      <alignment horizontal="left"/>
    </xf>
    <xf numFmtId="166" fontId="32" fillId="0" borderId="0" xfId="1" applyNumberFormat="1" applyFont="1" applyFill="1" applyAlignment="1">
      <alignment horizontal="right"/>
    </xf>
    <xf numFmtId="0" fontId="32" fillId="0" borderId="0" xfId="3" applyFont="1" applyFill="1" applyAlignment="1">
      <alignment horizontal="center" vertical="center"/>
    </xf>
    <xf numFmtId="49" fontId="32" fillId="0" borderId="0" xfId="3" applyNumberFormat="1" applyFont="1" applyFill="1" applyAlignment="1">
      <alignment horizontal="right" vertical="center"/>
    </xf>
    <xf numFmtId="0" fontId="32" fillId="0" borderId="0" xfId="3" applyFont="1" applyFill="1" applyAlignment="1">
      <alignment horizontal="center"/>
    </xf>
    <xf numFmtId="0" fontId="32" fillId="0" borderId="0" xfId="3" applyFont="1" applyFill="1" applyAlignment="1">
      <alignment horizontal="left" vertical="center"/>
    </xf>
    <xf numFmtId="0" fontId="33" fillId="0" borderId="0" xfId="7" applyFont="1" applyFill="1" applyBorder="1" applyAlignment="1">
      <alignment horizontal="right"/>
    </xf>
    <xf numFmtId="167" fontId="30" fillId="0" borderId="0" xfId="1" applyNumberFormat="1" applyFont="1" applyFill="1" applyAlignment="1">
      <alignment horizontal="right"/>
    </xf>
    <xf numFmtId="167" fontId="30" fillId="0" borderId="0" xfId="1" applyNumberFormat="1" applyFont="1" applyFill="1" applyAlignment="1">
      <alignment horizontal="center" vertical="center"/>
    </xf>
    <xf numFmtId="0" fontId="29" fillId="0" borderId="0" xfId="8" applyFont="1" applyFill="1" applyAlignment="1">
      <alignment horizontal="right"/>
    </xf>
    <xf numFmtId="0" fontId="29" fillId="0" borderId="0" xfId="0" applyFont="1" applyFill="1" applyAlignment="1">
      <alignment horizontal="right" vertical="center"/>
    </xf>
    <xf numFmtId="0" fontId="9" fillId="0" borderId="0" xfId="0" applyFont="1" applyFill="1" applyAlignment="1">
      <alignment vertical="center"/>
    </xf>
    <xf numFmtId="0" fontId="34" fillId="0" borderId="0" xfId="0" applyFont="1" applyFill="1" applyAlignment="1">
      <alignment horizontal="right" vertical="center"/>
    </xf>
    <xf numFmtId="0" fontId="29" fillId="0" borderId="0" xfId="0" applyFont="1" applyFill="1" applyAlignment="1">
      <alignment vertical="center"/>
    </xf>
    <xf numFmtId="0" fontId="33" fillId="0" borderId="0" xfId="7" applyFont="1" applyFill="1" applyAlignment="1">
      <alignment horizontal="right"/>
    </xf>
    <xf numFmtId="0" fontId="29" fillId="0" borderId="0" xfId="3" applyFont="1" applyFill="1" applyAlignment="1">
      <alignment horizontal="right" vertical="center"/>
    </xf>
    <xf numFmtId="0" fontId="33" fillId="0" borderId="0" xfId="7" applyFont="1" applyFill="1" applyAlignment="1"/>
    <xf numFmtId="166" fontId="15" fillId="0" borderId="1" xfId="5" applyNumberFormat="1" applyFont="1" applyFill="1" applyBorder="1" applyAlignment="1">
      <alignment horizontal="left" vertical="center" wrapText="1"/>
    </xf>
    <xf numFmtId="166" fontId="6" fillId="0" borderId="0" xfId="24" applyNumberFormat="1" applyFont="1" applyFill="1" applyAlignment="1">
      <alignment horizontal="right"/>
    </xf>
    <xf numFmtId="168" fontId="37" fillId="0" borderId="4" xfId="5" applyNumberFormat="1" applyFont="1" applyFill="1" applyBorder="1" applyAlignment="1">
      <alignment horizontal="right" vertical="center" wrapText="1"/>
    </xf>
    <xf numFmtId="49" fontId="37" fillId="0" borderId="4" xfId="5" applyNumberFormat="1" applyFont="1" applyFill="1" applyBorder="1" applyAlignment="1">
      <alignment horizontal="center" vertical="center" wrapText="1"/>
    </xf>
    <xf numFmtId="166" fontId="37" fillId="0" borderId="4" xfId="5" applyNumberFormat="1" applyFont="1" applyFill="1" applyBorder="1" applyAlignment="1">
      <alignment horizontal="left" vertical="center" wrapText="1" indent="2"/>
    </xf>
    <xf numFmtId="172" fontId="37" fillId="0" borderId="4" xfId="5" applyNumberFormat="1" applyFont="1" applyFill="1" applyBorder="1" applyAlignment="1">
      <alignment horizontal="left" vertical="center" wrapText="1" indent="2"/>
    </xf>
    <xf numFmtId="0" fontId="37" fillId="0" borderId="5" xfId="5" applyFont="1" applyFill="1" applyBorder="1" applyAlignment="1">
      <alignment horizontal="center" vertical="center"/>
    </xf>
    <xf numFmtId="168" fontId="37" fillId="0" borderId="9" xfId="5" applyNumberFormat="1" applyFont="1" applyFill="1" applyBorder="1" applyAlignment="1">
      <alignment horizontal="right" vertical="center" wrapText="1"/>
    </xf>
    <xf numFmtId="168" fontId="37" fillId="0" borderId="1" xfId="5" applyNumberFormat="1" applyFont="1" applyFill="1" applyBorder="1" applyAlignment="1">
      <alignment horizontal="right" vertical="center" wrapText="1"/>
    </xf>
    <xf numFmtId="49" fontId="37" fillId="0" borderId="1" xfId="5" applyNumberFormat="1" applyFont="1" applyFill="1" applyBorder="1" applyAlignment="1">
      <alignment horizontal="center" vertical="center" wrapText="1"/>
    </xf>
    <xf numFmtId="166" fontId="37" fillId="0" borderId="1" xfId="5" applyNumberFormat="1" applyFont="1" applyFill="1" applyBorder="1" applyAlignment="1">
      <alignment horizontal="left" vertical="center" wrapText="1"/>
    </xf>
    <xf numFmtId="0" fontId="37" fillId="0" borderId="8" xfId="5" applyFont="1" applyFill="1" applyBorder="1" applyAlignment="1">
      <alignment horizontal="center" vertical="center"/>
    </xf>
    <xf numFmtId="0" fontId="37" fillId="0" borderId="7" xfId="9" applyFont="1" applyFill="1" applyBorder="1" applyAlignment="1">
      <alignment horizontal="left" vertical="center" wrapText="1"/>
    </xf>
    <xf numFmtId="0" fontId="38" fillId="0" borderId="7" xfId="3" applyFont="1" applyFill="1" applyBorder="1" applyAlignment="1">
      <alignment horizontal="left" vertical="center" wrapText="1"/>
    </xf>
    <xf numFmtId="168" fontId="39" fillId="0" borderId="9" xfId="5" applyNumberFormat="1" applyFont="1" applyFill="1" applyBorder="1" applyAlignment="1">
      <alignment horizontal="right" vertical="center" wrapText="1"/>
    </xf>
    <xf numFmtId="168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6" fontId="39" fillId="0" borderId="1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172" fontId="39" fillId="0" borderId="1" xfId="5" applyNumberFormat="1" applyFont="1" applyFill="1" applyBorder="1" applyAlignment="1">
      <alignment horizontal="left" vertical="center" wrapText="1"/>
    </xf>
    <xf numFmtId="166" fontId="37" fillId="0" borderId="1" xfId="5" applyNumberFormat="1" applyFont="1" applyFill="1" applyBorder="1" applyAlignment="1">
      <alignment horizontal="left" vertical="center" wrapText="1" indent="2"/>
    </xf>
    <xf numFmtId="172" fontId="37" fillId="0" borderId="1" xfId="5" applyNumberFormat="1" applyFont="1" applyFill="1" applyBorder="1" applyAlignment="1">
      <alignment horizontal="left" vertical="center" wrapText="1" indent="2"/>
    </xf>
    <xf numFmtId="172" fontId="37" fillId="0" borderId="1" xfId="5" applyNumberFormat="1" applyFont="1" applyFill="1" applyBorder="1" applyAlignment="1">
      <alignment horizontal="left" vertical="center" wrapText="1"/>
    </xf>
    <xf numFmtId="168" fontId="39" fillId="0" borderId="20" xfId="5" applyNumberFormat="1" applyFont="1" applyFill="1" applyBorder="1" applyAlignment="1">
      <alignment horizontal="right" vertical="center" wrapText="1"/>
    </xf>
    <xf numFmtId="168" fontId="39" fillId="0" borderId="2" xfId="5" applyNumberFormat="1" applyFont="1" applyFill="1" applyBorder="1" applyAlignment="1">
      <alignment horizontal="right" vertical="center" wrapText="1"/>
    </xf>
    <xf numFmtId="49" fontId="39" fillId="0" borderId="2" xfId="5" applyNumberFormat="1" applyFont="1" applyFill="1" applyBorder="1" applyAlignment="1">
      <alignment horizontal="center" vertical="center" wrapText="1"/>
    </xf>
    <xf numFmtId="166" fontId="39" fillId="0" borderId="2" xfId="5" applyNumberFormat="1" applyFont="1" applyFill="1" applyBorder="1" applyAlignment="1">
      <alignment horizontal="left" vertical="center" wrapText="1"/>
    </xf>
    <xf numFmtId="172" fontId="39" fillId="0" borderId="2" xfId="5" applyNumberFormat="1" applyFont="1" applyFill="1" applyBorder="1" applyAlignment="1">
      <alignment horizontal="left" vertical="center" wrapText="1"/>
    </xf>
    <xf numFmtId="0" fontId="37" fillId="0" borderId="21" xfId="5" applyFont="1" applyFill="1" applyBorder="1" applyAlignment="1">
      <alignment horizontal="center" vertical="center"/>
    </xf>
    <xf numFmtId="168" fontId="39" fillId="0" borderId="31" xfId="5" applyNumberFormat="1" applyFont="1" applyFill="1" applyBorder="1" applyAlignment="1">
      <alignment horizontal="right" vertical="center" wrapText="1"/>
    </xf>
    <xf numFmtId="168" fontId="39" fillId="0" borderId="32" xfId="5" applyNumberFormat="1" applyFont="1" applyFill="1" applyBorder="1" applyAlignment="1">
      <alignment horizontal="right" vertical="center" wrapText="1"/>
    </xf>
    <xf numFmtId="168" fontId="37" fillId="0" borderId="32" xfId="5" applyNumberFormat="1" applyFont="1" applyFill="1" applyBorder="1" applyAlignment="1">
      <alignment horizontal="right" vertical="center" wrapText="1"/>
    </xf>
    <xf numFmtId="49" fontId="37" fillId="0" borderId="32" xfId="5" applyNumberFormat="1" applyFont="1" applyFill="1" applyBorder="1" applyAlignment="1">
      <alignment horizontal="center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0" fontId="39" fillId="0" borderId="32" xfId="8" applyFont="1" applyFill="1" applyBorder="1" applyAlignment="1">
      <alignment horizontal="left" vertical="center" wrapText="1"/>
    </xf>
    <xf numFmtId="0" fontId="39" fillId="0" borderId="33" xfId="5" applyFont="1" applyFill="1" applyBorder="1" applyAlignment="1">
      <alignment horizontal="center" vertical="center"/>
    </xf>
    <xf numFmtId="168" fontId="37" fillId="0" borderId="34" xfId="5" applyNumberFormat="1" applyFont="1" applyFill="1" applyBorder="1" applyAlignment="1">
      <alignment horizontal="right" vertical="center" wrapText="1"/>
    </xf>
    <xf numFmtId="168" fontId="37" fillId="0" borderId="23" xfId="5" applyNumberFormat="1" applyFont="1" applyFill="1" applyBorder="1" applyAlignment="1">
      <alignment horizontal="right" vertical="center" wrapText="1"/>
    </xf>
    <xf numFmtId="49" fontId="37" fillId="0" borderId="23" xfId="5" applyNumberFormat="1" applyFont="1" applyFill="1" applyBorder="1" applyAlignment="1">
      <alignment horizontal="center" vertical="center" wrapText="1"/>
    </xf>
    <xf numFmtId="166" fontId="37" fillId="0" borderId="23" xfId="5" applyNumberFormat="1" applyFont="1" applyFill="1" applyBorder="1" applyAlignment="1">
      <alignment horizontal="left" vertical="center" wrapText="1" indent="2"/>
    </xf>
    <xf numFmtId="172" fontId="37" fillId="0" borderId="23" xfId="5" applyNumberFormat="1" applyFont="1" applyFill="1" applyBorder="1" applyAlignment="1">
      <alignment horizontal="left" vertical="center" wrapText="1" indent="2"/>
    </xf>
    <xf numFmtId="0" fontId="37" fillId="0" borderId="24" xfId="5" applyFont="1" applyFill="1" applyBorder="1" applyAlignment="1">
      <alignment vertical="center"/>
    </xf>
    <xf numFmtId="0" fontId="37" fillId="0" borderId="8" xfId="5" applyFont="1" applyFill="1" applyBorder="1" applyAlignment="1">
      <alignment vertical="center"/>
    </xf>
    <xf numFmtId="0" fontId="37" fillId="0" borderId="1" xfId="9" applyFont="1" applyFill="1" applyBorder="1" applyAlignment="1">
      <alignment horizontal="left" vertical="center" wrapText="1"/>
    </xf>
    <xf numFmtId="0" fontId="39" fillId="0" borderId="7" xfId="3" applyFont="1" applyFill="1" applyBorder="1" applyAlignment="1">
      <alignment horizontal="left" vertical="center" wrapText="1"/>
    </xf>
    <xf numFmtId="173" fontId="37" fillId="0" borderId="1" xfId="5" applyNumberFormat="1" applyFont="1" applyFill="1" applyBorder="1" applyAlignment="1">
      <alignment horizontal="left" vertical="center" wrapText="1" indent="2"/>
    </xf>
    <xf numFmtId="0" fontId="37" fillId="0" borderId="1" xfId="9" applyFont="1" applyFill="1" applyBorder="1" applyAlignment="1">
      <alignment horizontal="justify" vertical="top" wrapText="1"/>
    </xf>
    <xf numFmtId="0" fontId="37" fillId="0" borderId="7" xfId="3" applyFont="1" applyFill="1" applyBorder="1" applyAlignment="1">
      <alignment horizontal="left" vertical="center" wrapText="1"/>
    </xf>
    <xf numFmtId="49" fontId="37" fillId="0" borderId="1" xfId="14" applyNumberFormat="1" applyFont="1" applyFill="1" applyBorder="1" applyAlignment="1">
      <alignment horizontal="center" vertical="center" wrapText="1"/>
    </xf>
    <xf numFmtId="49" fontId="37" fillId="0" borderId="1" xfId="5" applyNumberFormat="1" applyFont="1" applyFill="1" applyBorder="1" applyAlignment="1">
      <alignment horizontal="left" vertical="center" wrapText="1"/>
    </xf>
    <xf numFmtId="168" fontId="38" fillId="0" borderId="9" xfId="14" applyNumberFormat="1" applyFont="1" applyFill="1" applyBorder="1" applyAlignment="1">
      <alignment horizontal="right" vertical="center"/>
    </xf>
    <xf numFmtId="168" fontId="38" fillId="0" borderId="1" xfId="14" applyNumberFormat="1" applyFont="1" applyFill="1" applyBorder="1" applyAlignment="1">
      <alignment horizontal="right" vertical="center"/>
    </xf>
    <xf numFmtId="49" fontId="37" fillId="0" borderId="1" xfId="12" applyNumberFormat="1" applyFont="1" applyFill="1" applyBorder="1" applyAlignment="1" applyProtection="1">
      <alignment horizontal="center" vertical="center" wrapText="1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172" fontId="37" fillId="0" borderId="1" xfId="12" applyNumberFormat="1" applyFont="1" applyFill="1" applyBorder="1" applyAlignment="1" applyProtection="1">
      <alignment horizontal="left" vertical="center" wrapText="1"/>
    </xf>
    <xf numFmtId="0" fontId="38" fillId="0" borderId="8" xfId="14" applyFont="1" applyFill="1" applyBorder="1" applyAlignment="1">
      <alignment horizontal="center" vertical="center"/>
    </xf>
    <xf numFmtId="172" fontId="37" fillId="0" borderId="1" xfId="9" applyNumberFormat="1" applyFont="1" applyFill="1" applyBorder="1" applyAlignment="1">
      <alignment vertical="center" wrapText="1"/>
    </xf>
    <xf numFmtId="166" fontId="37" fillId="0" borderId="8" xfId="5" applyNumberFormat="1" applyFont="1" applyFill="1" applyBorder="1" applyAlignment="1">
      <alignment horizontal="left" vertical="center" wrapText="1"/>
    </xf>
    <xf numFmtId="0" fontId="38" fillId="0" borderId="7" xfId="3" applyFont="1" applyFill="1" applyBorder="1" applyAlignment="1">
      <alignment horizontal="center" vertical="center" wrapText="1"/>
    </xf>
    <xf numFmtId="166" fontId="37" fillId="0" borderId="8" xfId="5" applyNumberFormat="1" applyFont="1" applyFill="1" applyBorder="1" applyAlignment="1">
      <alignment vertical="center" wrapText="1"/>
    </xf>
    <xf numFmtId="0" fontId="39" fillId="0" borderId="7" xfId="3" applyFont="1" applyFill="1" applyBorder="1" applyAlignment="1">
      <alignment vertical="top" wrapText="1"/>
    </xf>
    <xf numFmtId="168" fontId="40" fillId="0" borderId="9" xfId="14" applyNumberFormat="1" applyFont="1" applyFill="1" applyBorder="1" applyAlignment="1">
      <alignment horizontal="right" vertical="center"/>
    </xf>
    <xf numFmtId="168" fontId="40" fillId="0" borderId="1" xfId="14" applyNumberFormat="1" applyFont="1" applyFill="1" applyBorder="1" applyAlignment="1">
      <alignment horizontal="right" vertical="center"/>
    </xf>
    <xf numFmtId="172" fontId="39" fillId="0" borderId="1" xfId="12" applyNumberFormat="1" applyFont="1" applyFill="1" applyBorder="1" applyAlignment="1" applyProtection="1">
      <alignment horizontal="left" vertical="center" wrapText="1"/>
    </xf>
    <xf numFmtId="0" fontId="38" fillId="0" borderId="8" xfId="14" applyFont="1" applyFill="1" applyBorder="1" applyAlignment="1">
      <alignment vertical="center"/>
    </xf>
    <xf numFmtId="0" fontId="9" fillId="0" borderId="7" xfId="9" applyFont="1" applyFill="1" applyBorder="1" applyAlignment="1">
      <alignment vertical="top" wrapText="1"/>
    </xf>
    <xf numFmtId="0" fontId="37" fillId="0" borderId="7" xfId="10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0" fontId="38" fillId="0" borderId="18" xfId="3" applyFont="1" applyFill="1" applyBorder="1" applyAlignment="1">
      <alignment vertical="top" wrapText="1"/>
    </xf>
    <xf numFmtId="0" fontId="39" fillId="0" borderId="8" xfId="5" applyFont="1" applyFill="1" applyBorder="1" applyAlignment="1">
      <alignment vertical="center"/>
    </xf>
    <xf numFmtId="166" fontId="39" fillId="0" borderId="1" xfId="12" applyNumberFormat="1" applyFont="1" applyFill="1" applyBorder="1" applyAlignment="1" applyProtection="1">
      <alignment horizontal="left" vertical="center" wrapText="1"/>
    </xf>
    <xf numFmtId="0" fontId="37" fillId="0" borderId="1" xfId="9" applyFont="1" applyFill="1" applyBorder="1" applyAlignment="1">
      <alignment horizontal="left" vertical="top" wrapText="1"/>
    </xf>
    <xf numFmtId="172" fontId="39" fillId="0" borderId="1" xfId="9" applyNumberFormat="1" applyFont="1" applyFill="1" applyBorder="1" applyAlignment="1">
      <alignment vertical="center" wrapText="1"/>
    </xf>
    <xf numFmtId="0" fontId="9" fillId="0" borderId="7" xfId="9" applyFont="1" applyFill="1" applyBorder="1" applyAlignment="1">
      <alignment wrapText="1"/>
    </xf>
    <xf numFmtId="0" fontId="9" fillId="0" borderId="7" xfId="9" applyFont="1" applyFill="1" applyBorder="1" applyAlignment="1">
      <alignment horizontal="left" vertical="center" wrapText="1"/>
    </xf>
    <xf numFmtId="49" fontId="37" fillId="0" borderId="1" xfId="14" applyNumberFormat="1" applyFont="1" applyFill="1" applyBorder="1" applyAlignment="1">
      <alignment vertical="center" wrapText="1"/>
    </xf>
    <xf numFmtId="49" fontId="39" fillId="0" borderId="1" xfId="14" applyNumberFormat="1" applyFont="1" applyFill="1" applyBorder="1" applyAlignment="1">
      <alignment vertical="center" wrapText="1"/>
    </xf>
    <xf numFmtId="166" fontId="37" fillId="0" borderId="1" xfId="11" applyNumberFormat="1" applyFont="1" applyFill="1" applyBorder="1" applyAlignment="1" applyProtection="1">
      <alignment horizontal="left" vertical="center" wrapText="1"/>
    </xf>
    <xf numFmtId="166" fontId="37" fillId="0" borderId="1" xfId="14" applyNumberFormat="1" applyFont="1" applyFill="1" applyBorder="1" applyAlignment="1">
      <alignment vertical="center" wrapText="1"/>
    </xf>
    <xf numFmtId="172" fontId="37" fillId="0" borderId="1" xfId="11" applyNumberFormat="1" applyFont="1" applyFill="1" applyBorder="1" applyAlignment="1" applyProtection="1">
      <alignment horizontal="left" vertical="center" wrapText="1"/>
    </xf>
    <xf numFmtId="0" fontId="43" fillId="0" borderId="7" xfId="3" applyFont="1" applyFill="1" applyBorder="1" applyAlignment="1">
      <alignment horizontal="left" vertical="center" wrapText="1"/>
    </xf>
    <xf numFmtId="172" fontId="39" fillId="0" borderId="1" xfId="5" applyNumberFormat="1" applyFont="1" applyFill="1" applyBorder="1" applyAlignment="1">
      <alignment horizontal="left" vertical="top" wrapText="1"/>
    </xf>
    <xf numFmtId="0" fontId="37" fillId="0" borderId="2" xfId="10" applyNumberFormat="1" applyFont="1" applyFill="1" applyBorder="1" applyAlignment="1" applyProtection="1">
      <alignment horizontal="left" vertical="center" wrapText="1"/>
    </xf>
    <xf numFmtId="0" fontId="37" fillId="0" borderId="7" xfId="9" applyFont="1" applyFill="1" applyBorder="1" applyAlignment="1">
      <alignment wrapText="1"/>
    </xf>
    <xf numFmtId="0" fontId="17" fillId="0" borderId="7" xfId="9" applyFont="1" applyFill="1" applyBorder="1" applyAlignment="1">
      <alignment horizontal="left" vertical="center" wrapText="1"/>
    </xf>
    <xf numFmtId="0" fontId="10" fillId="0" borderId="7" xfId="9" applyFont="1" applyFill="1" applyBorder="1" applyAlignment="1">
      <alignment horizontal="left" vertical="center" wrapText="1"/>
    </xf>
    <xf numFmtId="49" fontId="38" fillId="0" borderId="1" xfId="3" applyNumberFormat="1" applyFont="1" applyFill="1" applyBorder="1" applyAlignment="1">
      <alignment horizontal="center" vertical="center" wrapText="1"/>
    </xf>
    <xf numFmtId="169" fontId="37" fillId="0" borderId="1" xfId="10" applyNumberFormat="1" applyFont="1" applyFill="1" applyBorder="1" applyAlignment="1" applyProtection="1">
      <alignment horizontal="left" vertical="center" wrapText="1"/>
    </xf>
    <xf numFmtId="0" fontId="37" fillId="0" borderId="1" xfId="9" applyNumberFormat="1" applyFont="1" applyFill="1" applyBorder="1" applyAlignment="1" applyProtection="1">
      <alignment horizontal="left" vertical="center" wrapText="1"/>
    </xf>
    <xf numFmtId="168" fontId="37" fillId="0" borderId="9" xfId="5" applyNumberFormat="1" applyFont="1" applyFill="1" applyBorder="1" applyAlignment="1">
      <alignment horizontal="right" vertical="center"/>
    </xf>
    <xf numFmtId="168" fontId="37" fillId="0" borderId="1" xfId="5" applyNumberFormat="1" applyFont="1" applyFill="1" applyBorder="1" applyAlignment="1">
      <alignment horizontal="right" vertical="center"/>
    </xf>
    <xf numFmtId="168" fontId="39" fillId="0" borderId="9" xfId="5" applyNumberFormat="1" applyFont="1" applyFill="1" applyBorder="1" applyAlignment="1">
      <alignment horizontal="right" vertical="center"/>
    </xf>
    <xf numFmtId="168" fontId="39" fillId="0" borderId="1" xfId="5" applyNumberFormat="1" applyFont="1" applyFill="1" applyBorder="1" applyAlignment="1">
      <alignment horizontal="right" vertical="center"/>
    </xf>
    <xf numFmtId="166" fontId="39" fillId="0" borderId="1" xfId="11" applyNumberFormat="1" applyFont="1" applyFill="1" applyBorder="1" applyAlignment="1" applyProtection="1">
      <alignment horizontal="left" vertical="center" wrapText="1"/>
    </xf>
    <xf numFmtId="172" fontId="39" fillId="0" borderId="32" xfId="5" applyNumberFormat="1" applyFont="1" applyFill="1" applyBorder="1" applyAlignment="1">
      <alignment horizontal="left" vertical="center" wrapText="1"/>
    </xf>
    <xf numFmtId="168" fontId="37" fillId="0" borderId="34" xfId="5" applyNumberFormat="1" applyFont="1" applyFill="1" applyBorder="1" applyAlignment="1">
      <alignment horizontal="right" vertical="center"/>
    </xf>
    <xf numFmtId="168" fontId="37" fillId="0" borderId="23" xfId="5" applyNumberFormat="1" applyFont="1" applyFill="1" applyBorder="1" applyAlignment="1">
      <alignment horizontal="right" vertical="center"/>
    </xf>
    <xf numFmtId="0" fontId="39" fillId="0" borderId="24" xfId="5" applyFont="1" applyFill="1" applyBorder="1" applyAlignment="1">
      <alignment horizontal="center" vertical="center"/>
    </xf>
    <xf numFmtId="0" fontId="39" fillId="0" borderId="21" xfId="5" applyFont="1" applyFill="1" applyBorder="1" applyAlignment="1">
      <alignment horizontal="center" vertical="center"/>
    </xf>
    <xf numFmtId="168" fontId="11" fillId="0" borderId="34" xfId="5" applyNumberFormat="1" applyFont="1" applyFill="1" applyBorder="1" applyAlignment="1">
      <alignment horizontal="right" vertical="center" wrapText="1"/>
    </xf>
    <xf numFmtId="168" fontId="11" fillId="0" borderId="23" xfId="5" applyNumberFormat="1" applyFont="1" applyFill="1" applyBorder="1" applyAlignment="1">
      <alignment horizontal="right" vertical="center" wrapText="1"/>
    </xf>
    <xf numFmtId="49" fontId="11" fillId="0" borderId="23" xfId="5" applyNumberFormat="1" applyFont="1" applyFill="1" applyBorder="1" applyAlignment="1">
      <alignment horizontal="center" vertical="center" wrapText="1"/>
    </xf>
    <xf numFmtId="166" fontId="11" fillId="0" borderId="23" xfId="5" applyNumberFormat="1" applyFont="1" applyFill="1" applyBorder="1" applyAlignment="1">
      <alignment horizontal="left" vertical="center" wrapText="1"/>
    </xf>
    <xf numFmtId="172" fontId="11" fillId="0" borderId="23" xfId="5" applyNumberFormat="1" applyFont="1" applyFill="1" applyBorder="1" applyAlignment="1">
      <alignment horizontal="left" vertical="center" wrapText="1"/>
    </xf>
    <xf numFmtId="0" fontId="6" fillId="0" borderId="24" xfId="5" applyFont="1" applyFill="1" applyBorder="1" applyAlignment="1">
      <alignment horizontal="center" vertical="center"/>
    </xf>
    <xf numFmtId="168" fontId="39" fillId="0" borderId="25" xfId="5" applyNumberFormat="1" applyFont="1" applyFill="1" applyBorder="1" applyAlignment="1">
      <alignment horizontal="center" vertical="center" wrapText="1"/>
    </xf>
    <xf numFmtId="168" fontId="39" fillId="0" borderId="26" xfId="5" applyNumberFormat="1" applyFont="1" applyFill="1" applyBorder="1" applyAlignment="1">
      <alignment horizontal="center" vertical="center" wrapText="1"/>
    </xf>
    <xf numFmtId="49" fontId="39" fillId="0" borderId="26" xfId="5" applyNumberFormat="1" applyFont="1" applyFill="1" applyBorder="1" applyAlignment="1">
      <alignment horizontal="center" vertical="center" wrapText="1"/>
    </xf>
    <xf numFmtId="166" fontId="39" fillId="0" borderId="26" xfId="5" applyNumberFormat="1" applyFont="1" applyFill="1" applyBorder="1" applyAlignment="1">
      <alignment horizontal="center" vertical="center" wrapText="1"/>
    </xf>
    <xf numFmtId="172" fontId="39" fillId="0" borderId="26" xfId="5" applyNumberFormat="1" applyFont="1" applyFill="1" applyBorder="1" applyAlignment="1">
      <alignment horizontal="center" vertical="center" wrapText="1"/>
    </xf>
    <xf numFmtId="0" fontId="39" fillId="0" borderId="29" xfId="5" applyFont="1" applyFill="1" applyBorder="1" applyAlignment="1">
      <alignment horizontal="center" vertical="center" wrapText="1"/>
    </xf>
    <xf numFmtId="166" fontId="29" fillId="0" borderId="0" xfId="24" applyNumberFormat="1" applyFont="1" applyFill="1" applyAlignment="1">
      <alignment horizontal="right"/>
    </xf>
    <xf numFmtId="0" fontId="29" fillId="0" borderId="0" xfId="3" applyFont="1" applyFill="1"/>
    <xf numFmtId="167" fontId="6" fillId="0" borderId="0" xfId="3" applyNumberFormat="1" applyFont="1" applyFill="1"/>
    <xf numFmtId="167" fontId="30" fillId="0" borderId="0" xfId="24" applyNumberFormat="1" applyFont="1" applyFill="1"/>
    <xf numFmtId="167" fontId="30" fillId="0" borderId="0" xfId="24" applyNumberFormat="1" applyFont="1" applyFill="1" applyAlignment="1">
      <alignment horizontal="left"/>
    </xf>
    <xf numFmtId="166" fontId="32" fillId="0" borderId="0" xfId="24" applyNumberFormat="1" applyFont="1" applyFill="1" applyAlignment="1">
      <alignment horizontal="right"/>
    </xf>
    <xf numFmtId="168" fontId="30" fillId="0" borderId="0" xfId="24" applyNumberFormat="1" applyFont="1" applyFill="1" applyAlignment="1">
      <alignment horizontal="right"/>
    </xf>
    <xf numFmtId="167" fontId="30" fillId="0" borderId="0" xfId="24" applyNumberFormat="1" applyFont="1" applyFill="1" applyAlignment="1">
      <alignment horizontal="center" vertical="center"/>
    </xf>
    <xf numFmtId="167" fontId="30" fillId="0" borderId="0" xfId="24" applyNumberFormat="1" applyFont="1" applyFill="1" applyAlignment="1">
      <alignment horizontal="right"/>
    </xf>
    <xf numFmtId="0" fontId="29" fillId="0" borderId="0" xfId="9" applyFont="1" applyFill="1" applyAlignment="1">
      <alignment horizontal="right" vertical="center"/>
    </xf>
    <xf numFmtId="0" fontId="9" fillId="0" borderId="0" xfId="9" applyFont="1" applyFill="1" applyAlignment="1">
      <alignment vertical="center"/>
    </xf>
    <xf numFmtId="166" fontId="13" fillId="0" borderId="0" xfId="24" applyNumberFormat="1" applyFont="1" applyFill="1" applyBorder="1" applyAlignment="1">
      <alignment horizontal="center" vertical="center"/>
    </xf>
    <xf numFmtId="0" fontId="45" fillId="0" borderId="0" xfId="9" applyFont="1" applyFill="1" applyAlignment="1">
      <alignment vertical="center"/>
    </xf>
    <xf numFmtId="0" fontId="33" fillId="0" borderId="0" xfId="7" applyFont="1" applyFill="1" applyAlignment="1">
      <alignment horizontal="right" vertical="center"/>
    </xf>
    <xf numFmtId="0" fontId="34" fillId="0" borderId="0" xfId="9" applyFont="1" applyFill="1" applyAlignment="1">
      <alignment vertical="center"/>
    </xf>
    <xf numFmtId="0" fontId="33" fillId="0" borderId="0" xfId="7" applyFont="1" applyFill="1" applyAlignment="1">
      <alignment horizontal="right"/>
    </xf>
    <xf numFmtId="167" fontId="11" fillId="0" borderId="0" xfId="24" applyNumberFormat="1" applyFont="1" applyFill="1" applyAlignment="1">
      <alignment horizontal="right"/>
    </xf>
    <xf numFmtId="167" fontId="11" fillId="0" borderId="0" xfId="24" applyNumberFormat="1" applyFont="1" applyFill="1" applyAlignment="1">
      <alignment horizontal="center" vertical="center"/>
    </xf>
    <xf numFmtId="49" fontId="6" fillId="0" borderId="0" xfId="3" applyNumberFormat="1" applyFont="1" applyFill="1" applyAlignment="1">
      <alignment horizontal="right" vertical="center"/>
    </xf>
    <xf numFmtId="168" fontId="11" fillId="0" borderId="0" xfId="24" applyNumberFormat="1" applyFont="1" applyFill="1" applyAlignment="1">
      <alignment horizontal="right"/>
    </xf>
    <xf numFmtId="167" fontId="11" fillId="0" borderId="0" xfId="24" applyNumberFormat="1" applyFont="1" applyFill="1"/>
    <xf numFmtId="171" fontId="11" fillId="0" borderId="0" xfId="3" applyNumberFormat="1" applyFont="1" applyFill="1" applyBorder="1" applyAlignment="1">
      <alignment horizontal="center"/>
    </xf>
    <xf numFmtId="166" fontId="37" fillId="0" borderId="0" xfId="24" applyNumberFormat="1" applyFont="1" applyFill="1" applyAlignment="1">
      <alignment horizontal="right"/>
    </xf>
    <xf numFmtId="49" fontId="37" fillId="0" borderId="1" xfId="3" applyNumberFormat="1" applyFont="1" applyFill="1" applyBorder="1" applyAlignment="1">
      <alignment horizontal="center" vertical="center" wrapText="1"/>
    </xf>
    <xf numFmtId="0" fontId="9" fillId="0" borderId="7" xfId="9" applyNumberFormat="1" applyFont="1" applyFill="1" applyBorder="1" applyAlignment="1">
      <alignment horizontal="left" vertical="center" wrapText="1"/>
    </xf>
    <xf numFmtId="0" fontId="46" fillId="0" borderId="7" xfId="3" applyFont="1" applyFill="1" applyBorder="1" applyAlignment="1">
      <alignment horizontal="left" vertical="center" wrapText="1"/>
    </xf>
    <xf numFmtId="168" fontId="39" fillId="0" borderId="1" xfId="14" applyNumberFormat="1" applyFont="1" applyFill="1" applyBorder="1" applyAlignment="1">
      <alignment horizontal="right" vertical="center"/>
    </xf>
    <xf numFmtId="0" fontId="37" fillId="0" borderId="8" xfId="14" applyFont="1" applyFill="1" applyBorder="1" applyAlignment="1">
      <alignment horizontal="center" vertical="center"/>
    </xf>
    <xf numFmtId="0" fontId="37" fillId="0" borderId="8" xfId="14" applyFont="1" applyFill="1" applyBorder="1" applyAlignment="1">
      <alignment vertical="center"/>
    </xf>
    <xf numFmtId="0" fontId="37" fillId="0" borderId="18" xfId="3" applyFont="1" applyFill="1" applyBorder="1" applyAlignment="1">
      <alignment vertical="top" wrapText="1"/>
    </xf>
    <xf numFmtId="168" fontId="37" fillId="0" borderId="14" xfId="5" applyNumberFormat="1" applyFont="1" applyFill="1" applyBorder="1" applyAlignment="1">
      <alignment horizontal="right" vertical="center" wrapText="1"/>
    </xf>
    <xf numFmtId="0" fontId="37" fillId="0" borderId="7" xfId="3" applyFont="1" applyFill="1" applyBorder="1" applyAlignment="1">
      <alignment horizontal="center" vertical="center" wrapText="1"/>
    </xf>
    <xf numFmtId="168" fontId="37" fillId="0" borderId="9" xfId="14" applyNumberFormat="1" applyFont="1" applyFill="1" applyBorder="1" applyAlignment="1">
      <alignment horizontal="right" vertical="center"/>
    </xf>
    <xf numFmtId="168" fontId="37" fillId="0" borderId="3" xfId="5" applyNumberFormat="1" applyFont="1" applyFill="1" applyBorder="1" applyAlignment="1">
      <alignment horizontal="right" vertical="center" wrapText="1"/>
    </xf>
    <xf numFmtId="49" fontId="47" fillId="0" borderId="1" xfId="5" applyNumberFormat="1" applyFont="1" applyFill="1" applyBorder="1" applyAlignment="1">
      <alignment horizontal="center" vertical="center" wrapText="1"/>
    </xf>
    <xf numFmtId="49" fontId="48" fillId="0" borderId="1" xfId="5" applyNumberFormat="1" applyFont="1" applyFill="1" applyBorder="1" applyAlignment="1">
      <alignment horizontal="center" vertical="center" wrapText="1"/>
    </xf>
    <xf numFmtId="168" fontId="33" fillId="0" borderId="0" xfId="7" applyNumberFormat="1" applyFont="1" applyFill="1" applyAlignment="1">
      <alignment horizontal="right"/>
    </xf>
    <xf numFmtId="168" fontId="29" fillId="0" borderId="0" xfId="3" applyNumberFormat="1" applyFont="1" applyFill="1" applyAlignment="1">
      <alignment horizontal="right" vertical="center"/>
    </xf>
    <xf numFmtId="168" fontId="6" fillId="0" borderId="0" xfId="3" applyNumberFormat="1" applyFont="1" applyFill="1" applyAlignment="1">
      <alignment horizontal="right" vertical="center"/>
    </xf>
    <xf numFmtId="168" fontId="6" fillId="0" borderId="0" xfId="3" applyNumberFormat="1" applyFont="1" applyFill="1" applyAlignment="1">
      <alignment horizontal="center" vertical="center"/>
    </xf>
    <xf numFmtId="168" fontId="29" fillId="0" borderId="0" xfId="0" applyNumberFormat="1" applyFont="1" applyFill="1" applyAlignment="1">
      <alignment horizontal="right" vertical="center"/>
    </xf>
    <xf numFmtId="168" fontId="29" fillId="0" borderId="0" xfId="8" applyNumberFormat="1" applyFont="1" applyFill="1" applyAlignment="1">
      <alignment horizontal="right"/>
    </xf>
    <xf numFmtId="168" fontId="13" fillId="0" borderId="1" xfId="1" applyNumberFormat="1" applyFont="1" applyFill="1" applyBorder="1" applyAlignment="1">
      <alignment horizontal="center" vertical="center"/>
    </xf>
    <xf numFmtId="168" fontId="19" fillId="0" borderId="1" xfId="1" applyNumberFormat="1" applyFont="1" applyFill="1" applyBorder="1" applyAlignment="1">
      <alignment horizontal="right" vertical="center" wrapText="1"/>
    </xf>
    <xf numFmtId="168" fontId="25" fillId="0" borderId="1" xfId="1" applyNumberFormat="1" applyFont="1" applyFill="1" applyBorder="1" applyAlignment="1">
      <alignment horizontal="right" vertical="center" wrapText="1"/>
    </xf>
    <xf numFmtId="168" fontId="8" fillId="0" borderId="1" xfId="1" applyNumberFormat="1" applyFont="1" applyFill="1" applyBorder="1" applyAlignment="1">
      <alignment horizontal="right" vertical="center" wrapText="1"/>
    </xf>
    <xf numFmtId="168" fontId="24" fillId="0" borderId="1" xfId="1" applyNumberFormat="1" applyFont="1" applyFill="1" applyBorder="1" applyAlignment="1">
      <alignment horizontal="right" vertical="center" wrapText="1"/>
    </xf>
    <xf numFmtId="168" fontId="8" fillId="0" borderId="7" xfId="1" applyNumberFormat="1" applyFont="1" applyFill="1" applyBorder="1" applyAlignment="1">
      <alignment horizontal="righ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168" fontId="8" fillId="0" borderId="15" xfId="1" applyNumberFormat="1" applyFont="1" applyFill="1" applyBorder="1" applyAlignment="1">
      <alignment horizontal="right" vertical="center" wrapText="1"/>
    </xf>
    <xf numFmtId="168" fontId="13" fillId="0" borderId="1" xfId="1" applyNumberFormat="1" applyFont="1" applyFill="1" applyBorder="1" applyAlignment="1">
      <alignment vertical="center" wrapText="1"/>
    </xf>
    <xf numFmtId="168" fontId="8" fillId="0" borderId="1" xfId="1" applyNumberFormat="1" applyFont="1" applyFill="1" applyBorder="1" applyAlignment="1">
      <alignment vertical="center" wrapText="1"/>
    </xf>
    <xf numFmtId="168" fontId="8" fillId="0" borderId="7" xfId="1" applyNumberFormat="1" applyFont="1" applyFill="1" applyBorder="1" applyAlignment="1">
      <alignment vertical="center" wrapText="1"/>
    </xf>
    <xf numFmtId="168" fontId="6" fillId="0" borderId="0" xfId="1" applyNumberFormat="1" applyFont="1" applyFill="1" applyAlignment="1">
      <alignment horizontal="right"/>
    </xf>
    <xf numFmtId="168" fontId="13" fillId="0" borderId="25" xfId="1" applyNumberFormat="1" applyFont="1" applyFill="1" applyBorder="1" applyAlignment="1">
      <alignment horizontal="center" vertical="center"/>
    </xf>
    <xf numFmtId="168" fontId="8" fillId="0" borderId="9" xfId="1" applyNumberFormat="1" applyFont="1" applyFill="1" applyBorder="1" applyAlignment="1">
      <alignment horizontal="right" vertical="center" wrapText="1"/>
    </xf>
    <xf numFmtId="168" fontId="8" fillId="0" borderId="6" xfId="1" applyNumberFormat="1" applyFont="1" applyFill="1" applyBorder="1" applyAlignment="1">
      <alignment horizontal="right" vertical="center" wrapText="1"/>
    </xf>
    <xf numFmtId="168" fontId="8" fillId="0" borderId="20" xfId="1" applyNumberFormat="1" applyFont="1" applyFill="1" applyBorder="1" applyAlignment="1">
      <alignment horizontal="right" vertical="center" wrapText="1"/>
    </xf>
    <xf numFmtId="168" fontId="16" fillId="0" borderId="11" xfId="3" applyNumberFormat="1" applyFont="1" applyFill="1" applyBorder="1"/>
    <xf numFmtId="168" fontId="6" fillId="0" borderId="11" xfId="3" applyNumberFormat="1" applyFont="1" applyFill="1" applyBorder="1"/>
    <xf numFmtId="168" fontId="8" fillId="0" borderId="9" xfId="1" applyNumberFormat="1" applyFont="1" applyFill="1" applyBorder="1" applyAlignment="1">
      <alignment vertical="center" wrapText="1"/>
    </xf>
    <xf numFmtId="168" fontId="10" fillId="0" borderId="9" xfId="1" applyNumberFormat="1" applyFont="1" applyFill="1" applyBorder="1" applyAlignment="1">
      <alignment horizontal="right"/>
    </xf>
    <xf numFmtId="168" fontId="9" fillId="0" borderId="9" xfId="1" applyNumberFormat="1" applyFont="1" applyFill="1" applyBorder="1" applyAlignment="1">
      <alignment horizontal="right"/>
    </xf>
    <xf numFmtId="0" fontId="37" fillId="0" borderId="35" xfId="5" applyFont="1" applyFill="1" applyBorder="1" applyAlignment="1">
      <alignment vertical="center"/>
    </xf>
    <xf numFmtId="172" fontId="37" fillId="0" borderId="36" xfId="5" applyNumberFormat="1" applyFont="1" applyFill="1" applyBorder="1" applyAlignment="1">
      <alignment horizontal="left" vertical="center" wrapText="1" indent="2"/>
    </xf>
    <xf numFmtId="166" fontId="37" fillId="0" borderId="36" xfId="5" applyNumberFormat="1" applyFont="1" applyFill="1" applyBorder="1" applyAlignment="1">
      <alignment horizontal="left" vertical="center" wrapText="1" indent="2"/>
    </xf>
    <xf numFmtId="49" fontId="37" fillId="0" borderId="36" xfId="5" applyNumberFormat="1" applyFont="1" applyFill="1" applyBorder="1" applyAlignment="1">
      <alignment horizontal="center" vertical="center" wrapText="1"/>
    </xf>
    <xf numFmtId="168" fontId="37" fillId="0" borderId="36" xfId="5" applyNumberFormat="1" applyFont="1" applyFill="1" applyBorder="1" applyAlignment="1">
      <alignment horizontal="right" vertical="center" wrapText="1"/>
    </xf>
    <xf numFmtId="168" fontId="37" fillId="0" borderId="37" xfId="5" applyNumberFormat="1" applyFont="1" applyFill="1" applyBorder="1" applyAlignment="1">
      <alignment horizontal="right" vertical="center" wrapText="1"/>
    </xf>
    <xf numFmtId="0" fontId="5" fillId="0" borderId="0" xfId="7" applyFill="1" applyAlignment="1">
      <alignment horizontal="center"/>
    </xf>
    <xf numFmtId="0" fontId="5" fillId="0" borderId="0" xfId="7" applyAlignment="1">
      <alignment horizontal="right"/>
    </xf>
    <xf numFmtId="0" fontId="33" fillId="0" borderId="0" xfId="7" applyFont="1" applyAlignment="1">
      <alignment horizontal="right"/>
    </xf>
    <xf numFmtId="175" fontId="52" fillId="0" borderId="38" xfId="26" applyNumberFormat="1" applyFont="1" applyFill="1" applyBorder="1" applyAlignment="1">
      <alignment horizontal="center"/>
    </xf>
    <xf numFmtId="166" fontId="5" fillId="0" borderId="0" xfId="7" applyNumberFormat="1" applyFill="1" applyAlignment="1">
      <alignment horizontal="center"/>
    </xf>
    <xf numFmtId="166" fontId="6" fillId="0" borderId="0" xfId="25" applyNumberFormat="1" applyFont="1" applyFill="1" applyAlignment="1">
      <alignment horizontal="right"/>
    </xf>
    <xf numFmtId="0" fontId="34" fillId="0" borderId="0" xfId="0" applyFont="1" applyFill="1" applyAlignment="1">
      <alignment vertical="center"/>
    </xf>
    <xf numFmtId="167" fontId="30" fillId="0" borderId="0" xfId="25" applyNumberFormat="1" applyFont="1" applyFill="1" applyAlignment="1">
      <alignment horizontal="right"/>
    </xf>
    <xf numFmtId="166" fontId="32" fillId="0" borderId="0" xfId="25" applyNumberFormat="1" applyFont="1" applyFill="1" applyAlignment="1">
      <alignment horizontal="right"/>
    </xf>
    <xf numFmtId="167" fontId="30" fillId="0" borderId="0" xfId="25" applyNumberFormat="1" applyFont="1" applyFill="1" applyAlignment="1">
      <alignment horizontal="left"/>
    </xf>
    <xf numFmtId="167" fontId="30" fillId="0" borderId="0" xfId="25" applyNumberFormat="1" applyFont="1" applyFill="1" applyAlignment="1">
      <alignment horizontal="center" vertical="center"/>
    </xf>
    <xf numFmtId="168" fontId="30" fillId="0" borderId="0" xfId="25" applyNumberFormat="1" applyFont="1" applyFill="1" applyAlignment="1">
      <alignment horizontal="right"/>
    </xf>
    <xf numFmtId="167" fontId="30" fillId="0" borderId="0" xfId="25" applyNumberFormat="1" applyFont="1" applyFill="1"/>
    <xf numFmtId="0" fontId="22" fillId="0" borderId="0" xfId="29" applyFont="1" applyFill="1" applyAlignment="1">
      <alignment horizontal="right"/>
    </xf>
    <xf numFmtId="0" fontId="22" fillId="0" borderId="0" xfId="29" applyFont="1" applyFill="1" applyAlignment="1"/>
    <xf numFmtId="166" fontId="29" fillId="0" borderId="0" xfId="25" applyNumberFormat="1" applyFont="1" applyFill="1" applyAlignment="1">
      <alignment horizontal="right"/>
    </xf>
    <xf numFmtId="166" fontId="13" fillId="0" borderId="1" xfId="25" applyNumberFormat="1" applyFont="1" applyFill="1" applyBorder="1" applyAlignment="1">
      <alignment horizontal="center" vertical="center"/>
    </xf>
    <xf numFmtId="167" fontId="19" fillId="0" borderId="1" xfId="25" applyNumberFormat="1" applyFont="1" applyFill="1" applyBorder="1" applyAlignment="1">
      <alignment horizontal="right" vertical="center" wrapText="1"/>
    </xf>
    <xf numFmtId="166" fontId="19" fillId="0" borderId="1" xfId="25" applyNumberFormat="1" applyFont="1" applyFill="1" applyBorder="1" applyAlignment="1">
      <alignment horizontal="right" vertical="center" wrapText="1"/>
    </xf>
    <xf numFmtId="167" fontId="25" fillId="0" borderId="1" xfId="25" applyNumberFormat="1" applyFont="1" applyFill="1" applyBorder="1" applyAlignment="1">
      <alignment horizontal="right" vertical="center" wrapText="1"/>
    </xf>
    <xf numFmtId="166" fontId="25" fillId="0" borderId="1" xfId="25" applyNumberFormat="1" applyFont="1" applyFill="1" applyBorder="1" applyAlignment="1">
      <alignment horizontal="right" vertical="center" wrapText="1"/>
    </xf>
    <xf numFmtId="166" fontId="10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7" fontId="9" fillId="0" borderId="1" xfId="25" applyNumberFormat="1" applyFont="1" applyFill="1" applyBorder="1" applyAlignment="1">
      <alignment horizontal="right" vertical="center" wrapText="1"/>
    </xf>
    <xf numFmtId="167" fontId="8" fillId="0" borderId="1" xfId="25" applyNumberFormat="1" applyFont="1" applyFill="1" applyBorder="1" applyAlignment="1">
      <alignment horizontal="right" vertical="center" wrapText="1"/>
    </xf>
    <xf numFmtId="166" fontId="9" fillId="0" borderId="1" xfId="25" applyNumberFormat="1" applyFont="1" applyFill="1" applyBorder="1" applyAlignment="1">
      <alignment horizontal="right" vertical="center" wrapText="1"/>
    </xf>
    <xf numFmtId="166" fontId="8" fillId="0" borderId="1" xfId="25" applyNumberFormat="1" applyFont="1" applyFill="1" applyBorder="1" applyAlignment="1">
      <alignment horizontal="right" vertical="center" wrapText="1"/>
    </xf>
    <xf numFmtId="167" fontId="13" fillId="0" borderId="1" xfId="25" applyNumberFormat="1" applyFont="1" applyFill="1" applyBorder="1" applyAlignment="1">
      <alignment horizontal="right" vertical="center" wrapText="1"/>
    </xf>
    <xf numFmtId="166" fontId="13" fillId="0" borderId="1" xfId="25" applyNumberFormat="1" applyFont="1" applyFill="1" applyBorder="1" applyAlignment="1">
      <alignment horizontal="right" vertical="center" wrapText="1"/>
    </xf>
    <xf numFmtId="165" fontId="8" fillId="0" borderId="1" xfId="25" applyFont="1" applyFill="1" applyBorder="1" applyAlignment="1">
      <alignment horizontal="right" vertical="center" wrapText="1"/>
    </xf>
    <xf numFmtId="166" fontId="24" fillId="0" borderId="1" xfId="25" applyNumberFormat="1" applyFont="1" applyFill="1" applyBorder="1" applyAlignment="1">
      <alignment horizontal="right" vertical="center" wrapText="1"/>
    </xf>
    <xf numFmtId="167" fontId="24" fillId="0" borderId="1" xfId="25" applyNumberFormat="1" applyFont="1" applyFill="1" applyBorder="1" applyAlignment="1">
      <alignment horizontal="right" vertical="center" wrapText="1"/>
    </xf>
    <xf numFmtId="166" fontId="8" fillId="0" borderId="7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6" fontId="27" fillId="0" borderId="1" xfId="25" applyNumberFormat="1" applyFont="1" applyFill="1" applyBorder="1" applyAlignment="1">
      <alignment horizontal="right" vertical="center" wrapText="1"/>
    </xf>
    <xf numFmtId="168" fontId="13" fillId="0" borderId="1" xfId="25" applyNumberFormat="1" applyFont="1" applyFill="1" applyBorder="1" applyAlignment="1">
      <alignment horizontal="right" vertical="center" wrapText="1"/>
    </xf>
    <xf numFmtId="165" fontId="24" fillId="0" borderId="1" xfId="25" applyFont="1" applyFill="1" applyBorder="1" applyAlignment="1">
      <alignment horizontal="right" vertical="center" wrapText="1"/>
    </xf>
    <xf numFmtId="167" fontId="8" fillId="0" borderId="15" xfId="25" applyNumberFormat="1" applyFont="1" applyFill="1" applyBorder="1" applyAlignment="1">
      <alignment horizontal="right" vertical="center" wrapText="1"/>
    </xf>
    <xf numFmtId="165" fontId="13" fillId="0" borderId="1" xfId="25" applyFont="1" applyFill="1" applyBorder="1" applyAlignment="1">
      <alignment horizontal="right" vertical="center" wrapText="1"/>
    </xf>
    <xf numFmtId="167" fontId="13" fillId="0" borderId="1" xfId="25" applyNumberFormat="1" applyFont="1" applyFill="1" applyBorder="1" applyAlignment="1">
      <alignment vertical="center" wrapText="1"/>
    </xf>
    <xf numFmtId="166" fontId="8" fillId="0" borderId="1" xfId="25" applyNumberFormat="1" applyFont="1" applyFill="1" applyBorder="1" applyAlignment="1">
      <alignment vertical="center" wrapText="1"/>
    </xf>
    <xf numFmtId="49" fontId="27" fillId="0" borderId="0" xfId="3" applyNumberFormat="1" applyFont="1" applyFill="1" applyBorder="1" applyAlignment="1">
      <alignment horizontal="center" vertical="center" wrapText="1"/>
    </xf>
    <xf numFmtId="165" fontId="9" fillId="0" borderId="1" xfId="25" applyFont="1" applyFill="1" applyBorder="1" applyAlignment="1">
      <alignment horizontal="right" vertical="center" wrapText="1"/>
    </xf>
    <xf numFmtId="167" fontId="8" fillId="0" borderId="7" xfId="25" applyNumberFormat="1" applyFont="1" applyFill="1" applyBorder="1" applyAlignment="1">
      <alignment vertical="center" wrapText="1"/>
    </xf>
    <xf numFmtId="168" fontId="13" fillId="0" borderId="7" xfId="25" applyNumberFormat="1" applyFont="1" applyFill="1" applyBorder="1" applyAlignment="1">
      <alignment horizontal="right" vertical="center"/>
    </xf>
    <xf numFmtId="167" fontId="13" fillId="0" borderId="7" xfId="25" applyNumberFormat="1" applyFont="1" applyFill="1" applyBorder="1" applyAlignment="1">
      <alignment horizontal="center" vertical="center"/>
    </xf>
    <xf numFmtId="167" fontId="13" fillId="0" borderId="7" xfId="25" applyNumberFormat="1" applyFont="1" applyFill="1" applyBorder="1" applyAlignment="1">
      <alignment vertical="center" wrapText="1"/>
    </xf>
    <xf numFmtId="170" fontId="6" fillId="0" borderId="0" xfId="30" applyFont="1" applyFill="1" applyBorder="1"/>
    <xf numFmtId="0" fontId="22" fillId="0" borderId="0" xfId="29" applyFont="1" applyFill="1" applyBorder="1" applyAlignment="1"/>
    <xf numFmtId="0" fontId="17" fillId="0" borderId="1" xfId="31" applyFont="1" applyFill="1" applyBorder="1" applyAlignment="1">
      <alignment horizontal="left" vertical="center" wrapText="1"/>
    </xf>
    <xf numFmtId="0" fontId="17" fillId="0" borderId="7" xfId="31" applyFont="1" applyFill="1" applyBorder="1" applyAlignment="1">
      <alignment horizontal="left" vertical="center" wrapText="1"/>
    </xf>
    <xf numFmtId="0" fontId="9" fillId="0" borderId="1" xfId="31" applyFont="1" applyFill="1" applyBorder="1" applyAlignment="1">
      <alignment horizontal="left" vertical="top" wrapText="1"/>
    </xf>
    <xf numFmtId="0" fontId="9" fillId="0" borderId="7" xfId="31" applyFont="1" applyFill="1" applyBorder="1" applyAlignment="1">
      <alignment horizontal="left" vertical="center" wrapText="1"/>
    </xf>
    <xf numFmtId="167" fontId="9" fillId="0" borderId="1" xfId="31" applyNumberFormat="1" applyFont="1" applyFill="1" applyBorder="1" applyAlignment="1">
      <alignment horizontal="left" vertical="center" wrapText="1"/>
    </xf>
    <xf numFmtId="0" fontId="17" fillId="0" borderId="0" xfId="31" applyFont="1" applyFill="1" applyBorder="1" applyAlignment="1">
      <alignment horizontal="left" vertical="center" wrapText="1"/>
    </xf>
    <xf numFmtId="167" fontId="8" fillId="0" borderId="2" xfId="25" applyNumberFormat="1" applyFont="1" applyFill="1" applyBorder="1" applyAlignment="1">
      <alignment horizontal="right" vertical="center" wrapText="1"/>
    </xf>
    <xf numFmtId="165" fontId="13" fillId="0" borderId="2" xfId="25" applyFont="1" applyFill="1" applyBorder="1" applyAlignment="1">
      <alignment horizontal="right" vertical="center" wrapText="1"/>
    </xf>
    <xf numFmtId="166" fontId="13" fillId="0" borderId="2" xfId="25" applyNumberFormat="1" applyFont="1" applyFill="1" applyBorder="1" applyAlignment="1">
      <alignment horizontal="right" vertical="center" wrapText="1"/>
    </xf>
    <xf numFmtId="0" fontId="9" fillId="0" borderId="7" xfId="31" applyFont="1" applyFill="1" applyBorder="1" applyAlignment="1">
      <alignment vertical="top" wrapText="1"/>
    </xf>
    <xf numFmtId="168" fontId="13" fillId="0" borderId="1" xfId="25" applyNumberFormat="1" applyFont="1" applyFill="1" applyBorder="1" applyAlignment="1" applyProtection="1">
      <alignment horizontal="right" vertical="center" wrapText="1"/>
      <protection locked="0"/>
    </xf>
    <xf numFmtId="168" fontId="10" fillId="0" borderId="1" xfId="25" applyNumberFormat="1" applyFont="1" applyFill="1" applyBorder="1" applyAlignment="1">
      <alignment horizontal="right" vertical="center" wrapText="1"/>
    </xf>
    <xf numFmtId="168" fontId="9" fillId="0" borderId="1" xfId="25" applyNumberFormat="1" applyFont="1" applyFill="1" applyBorder="1" applyAlignment="1">
      <alignment horizontal="right" vertical="center" wrapText="1"/>
    </xf>
    <xf numFmtId="0" fontId="9" fillId="0" borderId="1" xfId="31" applyFont="1" applyFill="1" applyBorder="1" applyAlignment="1">
      <alignment horizontal="left" vertical="center" wrapText="1"/>
    </xf>
    <xf numFmtId="167" fontId="6" fillId="0" borderId="1" xfId="25" applyNumberFormat="1" applyFont="1" applyFill="1" applyBorder="1" applyAlignment="1">
      <alignment vertical="center"/>
    </xf>
    <xf numFmtId="167" fontId="9" fillId="0" borderId="1" xfId="25" applyNumberFormat="1" applyFont="1" applyFill="1" applyBorder="1" applyAlignment="1">
      <alignment vertical="center"/>
    </xf>
    <xf numFmtId="166" fontId="9" fillId="0" borderId="1" xfId="25" applyNumberFormat="1" applyFont="1" applyFill="1" applyBorder="1" applyAlignment="1">
      <alignment vertical="center"/>
    </xf>
    <xf numFmtId="0" fontId="9" fillId="0" borderId="1" xfId="31" applyNumberFormat="1" applyFont="1" applyFill="1" applyBorder="1" applyAlignment="1" applyProtection="1">
      <alignment horizontal="left" vertical="center" wrapText="1"/>
    </xf>
    <xf numFmtId="169" fontId="9" fillId="0" borderId="1" xfId="31" applyNumberFormat="1" applyFont="1" applyFill="1" applyBorder="1" applyAlignment="1" applyProtection="1">
      <alignment horizontal="left" vertical="center" wrapText="1"/>
    </xf>
    <xf numFmtId="166" fontId="8" fillId="0" borderId="0" xfId="25" applyNumberFormat="1" applyFont="1" applyFill="1" applyBorder="1" applyAlignment="1">
      <alignment horizontal="right" vertical="center" wrapText="1"/>
    </xf>
    <xf numFmtId="166" fontId="55" fillId="0" borderId="1" xfId="5" applyNumberFormat="1" applyFont="1" applyFill="1" applyBorder="1" applyAlignment="1">
      <alignment horizontal="left" vertical="center" wrapText="1"/>
    </xf>
    <xf numFmtId="167" fontId="8" fillId="0" borderId="0" xfId="25" applyNumberFormat="1" applyFont="1" applyFill="1" applyBorder="1" applyAlignment="1">
      <alignment horizontal="right" vertical="center" wrapText="1"/>
    </xf>
    <xf numFmtId="49" fontId="8" fillId="0" borderId="1" xfId="25" applyNumberFormat="1" applyFont="1" applyFill="1" applyBorder="1" applyAlignment="1">
      <alignment horizontal="right" vertical="center" wrapText="1"/>
    </xf>
    <xf numFmtId="49" fontId="9" fillId="0" borderId="7" xfId="3" applyNumberFormat="1" applyFont="1" applyFill="1" applyBorder="1" applyAlignment="1">
      <alignment horizontal="right" vertical="center" wrapText="1"/>
    </xf>
    <xf numFmtId="166" fontId="8" fillId="0" borderId="10" xfId="25" applyNumberFormat="1" applyFont="1" applyFill="1" applyBorder="1" applyAlignment="1">
      <alignment horizontal="right" vertical="center" wrapText="1"/>
    </xf>
    <xf numFmtId="166" fontId="8" fillId="0" borderId="18" xfId="25" applyNumberFormat="1" applyFont="1" applyFill="1" applyBorder="1" applyAlignment="1">
      <alignment horizontal="right" vertical="center" wrapText="1"/>
    </xf>
    <xf numFmtId="49" fontId="8" fillId="0" borderId="1" xfId="25" applyNumberFormat="1" applyFont="1" applyFill="1" applyBorder="1" applyAlignment="1">
      <alignment vertical="center" wrapText="1"/>
    </xf>
    <xf numFmtId="167" fontId="8" fillId="0" borderId="1" xfId="25" applyNumberFormat="1" applyFont="1" applyFill="1" applyBorder="1" applyAlignment="1">
      <alignment vertical="center" wrapText="1"/>
    </xf>
    <xf numFmtId="49" fontId="9" fillId="0" borderId="18" xfId="3" applyNumberFormat="1" applyFont="1" applyFill="1" applyBorder="1" applyAlignment="1">
      <alignment horizontal="right" vertical="center" wrapText="1"/>
    </xf>
    <xf numFmtId="49" fontId="8" fillId="0" borderId="18" xfId="3" applyNumberFormat="1" applyFont="1" applyFill="1" applyBorder="1" applyAlignment="1">
      <alignment horizontal="right" vertical="center" wrapText="1"/>
    </xf>
    <xf numFmtId="49" fontId="6" fillId="0" borderId="1" xfId="3" applyNumberFormat="1" applyFont="1" applyFill="1" applyBorder="1" applyAlignment="1">
      <alignment horizontal="center" vertical="center"/>
    </xf>
    <xf numFmtId="49" fontId="10" fillId="0" borderId="1" xfId="25" applyNumberFormat="1" applyFont="1" applyFill="1" applyBorder="1" applyAlignment="1">
      <alignment horizontal="right"/>
    </xf>
    <xf numFmtId="166" fontId="10" fillId="0" borderId="1" xfId="25" applyNumberFormat="1" applyFont="1" applyFill="1" applyBorder="1" applyAlignment="1">
      <alignment horizontal="right"/>
    </xf>
    <xf numFmtId="49" fontId="9" fillId="0" borderId="1" xfId="25" applyNumberFormat="1" applyFont="1" applyFill="1" applyBorder="1" applyAlignment="1">
      <alignment horizontal="right"/>
    </xf>
    <xf numFmtId="166" fontId="9" fillId="0" borderId="1" xfId="25" applyNumberFormat="1" applyFont="1" applyFill="1" applyBorder="1" applyAlignment="1">
      <alignment horizontal="right"/>
    </xf>
    <xf numFmtId="168" fontId="9" fillId="0" borderId="1" xfId="3" applyNumberFormat="1" applyFont="1" applyFill="1" applyBorder="1" applyAlignment="1">
      <alignment horizontal="right" vertical="center" wrapText="1"/>
    </xf>
    <xf numFmtId="166" fontId="6" fillId="0" borderId="1" xfId="25" applyNumberFormat="1" applyFont="1" applyFill="1" applyBorder="1" applyAlignment="1">
      <alignment horizontal="right"/>
    </xf>
    <xf numFmtId="168" fontId="37" fillId="0" borderId="7" xfId="5" applyNumberFormat="1" applyFont="1" applyFill="1" applyBorder="1" applyAlignment="1">
      <alignment horizontal="right" vertical="center" wrapText="1"/>
    </xf>
    <xf numFmtId="178" fontId="6" fillId="0" borderId="0" xfId="3" applyNumberFormat="1" applyFont="1" applyFill="1"/>
    <xf numFmtId="174" fontId="48" fillId="0" borderId="1" xfId="5" applyNumberFormat="1" applyFont="1" applyFill="1" applyBorder="1" applyAlignment="1">
      <alignment horizontal="right" vertical="center" wrapText="1"/>
    </xf>
    <xf numFmtId="49" fontId="9" fillId="0" borderId="1" xfId="5" applyNumberFormat="1" applyFont="1" applyFill="1" applyBorder="1" applyAlignment="1">
      <alignment horizontal="center" vertical="center" wrapText="1"/>
    </xf>
    <xf numFmtId="172" fontId="9" fillId="0" borderId="7" xfId="5" applyNumberFormat="1" applyFont="1" applyFill="1" applyBorder="1" applyAlignment="1">
      <alignment vertical="center" wrapText="1"/>
    </xf>
    <xf numFmtId="172" fontId="9" fillId="0" borderId="1" xfId="5" applyNumberFormat="1" applyFont="1" applyFill="1" applyBorder="1" applyAlignment="1">
      <alignment vertical="center" wrapText="1"/>
    </xf>
    <xf numFmtId="49" fontId="8" fillId="0" borderId="7" xfId="3" applyNumberFormat="1" applyFont="1" applyFill="1" applyBorder="1" applyAlignment="1">
      <alignment horizontal="center" vertical="center" wrapText="1"/>
    </xf>
    <xf numFmtId="166" fontId="8" fillId="0" borderId="14" xfId="25" applyNumberFormat="1" applyFont="1" applyFill="1" applyBorder="1" applyAlignment="1">
      <alignment horizontal="right" vertical="center" wrapText="1"/>
    </xf>
    <xf numFmtId="172" fontId="9" fillId="0" borderId="8" xfId="5" applyNumberFormat="1" applyFont="1" applyFill="1" applyBorder="1" applyAlignment="1">
      <alignment horizontal="left" vertical="center" wrapText="1"/>
    </xf>
    <xf numFmtId="0" fontId="9" fillId="0" borderId="7" xfId="10" applyFont="1" applyFill="1" applyBorder="1" applyAlignment="1">
      <alignment horizontal="left" vertical="center" wrapText="1"/>
    </xf>
    <xf numFmtId="49" fontId="8" fillId="0" borderId="18" xfId="25" applyNumberFormat="1" applyFont="1" applyFill="1" applyBorder="1" applyAlignment="1">
      <alignment vertical="center" wrapText="1"/>
    </xf>
    <xf numFmtId="167" fontId="8" fillId="0" borderId="18" xfId="25" applyNumberFormat="1" applyFont="1" applyFill="1" applyBorder="1" applyAlignment="1">
      <alignment vertical="center" wrapText="1"/>
    </xf>
    <xf numFmtId="0" fontId="5" fillId="0" borderId="0" xfId="7" applyFill="1" applyAlignment="1">
      <alignment horizontal="right"/>
    </xf>
    <xf numFmtId="166" fontId="56" fillId="0" borderId="0" xfId="1" applyNumberFormat="1" applyFont="1" applyFill="1" applyAlignment="1">
      <alignment horizontal="right"/>
    </xf>
    <xf numFmtId="168" fontId="56" fillId="0" borderId="0" xfId="1" applyNumberFormat="1" applyFont="1" applyFill="1" applyAlignment="1">
      <alignment horizontal="right"/>
    </xf>
    <xf numFmtId="168" fontId="9" fillId="0" borderId="9" xfId="4" applyNumberFormat="1" applyFont="1" applyFill="1" applyBorder="1" applyAlignment="1">
      <alignment horizontal="right" vertical="center" wrapText="1"/>
    </xf>
    <xf numFmtId="0" fontId="56" fillId="0" borderId="0" xfId="3" applyFont="1" applyFill="1"/>
    <xf numFmtId="0" fontId="29" fillId="0" borderId="0" xfId="9" applyFont="1" applyAlignment="1">
      <alignment horizontal="right" vertical="center"/>
    </xf>
    <xf numFmtId="0" fontId="5" fillId="0" borderId="0" xfId="7" applyFill="1"/>
    <xf numFmtId="168" fontId="50" fillId="0" borderId="0" xfId="24" applyNumberFormat="1" applyFont="1" applyFill="1" applyAlignment="1"/>
    <xf numFmtId="168" fontId="50" fillId="0" borderId="0" xfId="7" applyNumberFormat="1" applyFont="1" applyFill="1" applyAlignment="1"/>
    <xf numFmtId="166" fontId="5" fillId="0" borderId="0" xfId="7" applyNumberFormat="1" applyFill="1"/>
    <xf numFmtId="0" fontId="9" fillId="0" borderId="0" xfId="27" applyFont="1"/>
    <xf numFmtId="0" fontId="29" fillId="0" borderId="0" xfId="27" applyFont="1" applyAlignment="1">
      <alignment wrapText="1"/>
    </xf>
    <xf numFmtId="0" fontId="5" fillId="0" borderId="0" xfId="27"/>
    <xf numFmtId="0" fontId="29" fillId="0" borderId="0" xfId="27" applyFont="1" applyAlignment="1"/>
    <xf numFmtId="0" fontId="5" fillId="0" borderId="0" xfId="27" applyAlignment="1">
      <alignment horizontal="center"/>
    </xf>
    <xf numFmtId="0" fontId="5" fillId="0" borderId="0" xfId="27" applyAlignment="1">
      <alignment wrapText="1"/>
    </xf>
    <xf numFmtId="0" fontId="5" fillId="0" borderId="0" xfId="27" applyFill="1"/>
    <xf numFmtId="0" fontId="9" fillId="0" borderId="0" xfId="9" applyFont="1" applyAlignment="1">
      <alignment vertical="center"/>
    </xf>
    <xf numFmtId="0" fontId="5" fillId="0" borderId="0" xfId="27" applyFont="1"/>
    <xf numFmtId="0" fontId="57" fillId="0" borderId="0" xfId="27" applyFont="1" applyAlignment="1">
      <alignment horizontal="center" wrapText="1"/>
    </xf>
    <xf numFmtId="0" fontId="10" fillId="2" borderId="14" xfId="3" applyFont="1" applyFill="1" applyBorder="1" applyAlignment="1">
      <alignment horizontal="center" vertical="center" wrapText="1"/>
    </xf>
    <xf numFmtId="169" fontId="23" fillId="2" borderId="28" xfId="9" applyNumberFormat="1" applyFont="1" applyFill="1" applyBorder="1" applyAlignment="1">
      <alignment horizontal="center" vertical="top" wrapText="1"/>
    </xf>
    <xf numFmtId="169" fontId="23" fillId="2" borderId="25" xfId="9" applyNumberFormat="1" applyFont="1" applyFill="1" applyBorder="1" applyAlignment="1">
      <alignment horizontal="center" vertical="top" wrapText="1"/>
    </xf>
    <xf numFmtId="0" fontId="6" fillId="2" borderId="0" xfId="3" applyFont="1" applyFill="1"/>
    <xf numFmtId="0" fontId="10" fillId="2" borderId="58" xfId="3" applyFont="1" applyFill="1" applyBorder="1" applyAlignment="1">
      <alignment horizontal="center" vertical="center" wrapText="1"/>
    </xf>
    <xf numFmtId="49" fontId="25" fillId="4" borderId="1" xfId="3" applyNumberFormat="1" applyFont="1" applyFill="1" applyBorder="1" applyAlignment="1">
      <alignment horizontal="center" vertical="center" wrapText="1"/>
    </xf>
    <xf numFmtId="0" fontId="25" fillId="2" borderId="1" xfId="3" applyFont="1" applyFill="1" applyBorder="1" applyAlignment="1">
      <alignment horizontal="center" vertical="center" wrapText="1"/>
    </xf>
    <xf numFmtId="0" fontId="13" fillId="3" borderId="1" xfId="3" applyFont="1" applyFill="1" applyBorder="1" applyAlignment="1">
      <alignment horizontal="center" vertical="center" wrapText="1"/>
    </xf>
    <xf numFmtId="167" fontId="23" fillId="2" borderId="7" xfId="24" applyNumberFormat="1" applyFont="1" applyFill="1" applyBorder="1" applyAlignment="1">
      <alignment horizontal="center" vertical="top" wrapText="1"/>
    </xf>
    <xf numFmtId="166" fontId="23" fillId="2" borderId="9" xfId="24" applyNumberFormat="1" applyFont="1" applyFill="1" applyBorder="1" applyAlignment="1">
      <alignment horizontal="right" vertical="top" wrapText="1"/>
    </xf>
    <xf numFmtId="0" fontId="9" fillId="2" borderId="58" xfId="3" applyFont="1" applyFill="1" applyBorder="1" applyAlignment="1">
      <alignment horizontal="center" vertical="center" wrapText="1"/>
    </xf>
    <xf numFmtId="0" fontId="8" fillId="2" borderId="1" xfId="3" applyFont="1" applyFill="1" applyBorder="1" applyAlignment="1">
      <alignment horizontal="center" vertical="center" wrapText="1"/>
    </xf>
    <xf numFmtId="0" fontId="8" fillId="3" borderId="1" xfId="3" applyFont="1" applyFill="1" applyBorder="1" applyAlignment="1">
      <alignment horizontal="center" vertical="center" wrapText="1"/>
    </xf>
    <xf numFmtId="166" fontId="58" fillId="2" borderId="7" xfId="24" applyNumberFormat="1" applyFont="1" applyFill="1" applyBorder="1" applyAlignment="1">
      <alignment horizontal="right" vertical="center" wrapText="1"/>
    </xf>
    <xf numFmtId="166" fontId="58" fillId="2" borderId="9" xfId="24" applyNumberFormat="1" applyFont="1" applyFill="1" applyBorder="1" applyAlignment="1">
      <alignment horizontal="right" vertical="center" wrapText="1"/>
    </xf>
    <xf numFmtId="0" fontId="53" fillId="0" borderId="58" xfId="3" applyFont="1" applyBorder="1" applyAlignment="1">
      <alignment horizontal="center"/>
    </xf>
    <xf numFmtId="49" fontId="8" fillId="2" borderId="1" xfId="3" applyNumberFormat="1" applyFont="1" applyFill="1" applyBorder="1" applyAlignment="1">
      <alignment horizontal="center" vertical="center" wrapText="1"/>
    </xf>
    <xf numFmtId="166" fontId="8" fillId="2" borderId="7" xfId="24" applyNumberFormat="1" applyFont="1" applyFill="1" applyBorder="1" applyAlignment="1">
      <alignment horizontal="right" vertical="center" wrapText="1"/>
    </xf>
    <xf numFmtId="166" fontId="8" fillId="2" borderId="9" xfId="24" applyNumberFormat="1" applyFont="1" applyFill="1" applyBorder="1" applyAlignment="1">
      <alignment horizontal="right" vertical="center" wrapText="1"/>
    </xf>
    <xf numFmtId="0" fontId="6" fillId="0" borderId="0" xfId="3" applyFont="1"/>
    <xf numFmtId="0" fontId="6" fillId="0" borderId="0" xfId="3" applyFont="1" applyAlignment="1">
      <alignment horizontal="center"/>
    </xf>
    <xf numFmtId="0" fontId="9" fillId="0" borderId="48" xfId="9" applyFont="1" applyBorder="1"/>
    <xf numFmtId="166" fontId="9" fillId="2" borderId="7" xfId="24" applyNumberFormat="1" applyFont="1" applyFill="1" applyBorder="1" applyAlignment="1">
      <alignment horizontal="right" vertical="center" wrapText="1"/>
    </xf>
    <xf numFmtId="166" fontId="9" fillId="2" borderId="9" xfId="24" applyNumberFormat="1" applyFont="1" applyFill="1" applyBorder="1" applyAlignment="1">
      <alignment horizontal="right" vertical="center" wrapText="1"/>
    </xf>
    <xf numFmtId="166" fontId="9" fillId="2" borderId="59" xfId="24" applyNumberFormat="1" applyFont="1" applyFill="1" applyBorder="1" applyAlignment="1">
      <alignment horizontal="right" vertical="center" wrapText="1"/>
    </xf>
    <xf numFmtId="166" fontId="9" fillId="2" borderId="3" xfId="24" applyNumberFormat="1" applyFont="1" applyFill="1" applyBorder="1" applyAlignment="1">
      <alignment horizontal="right" vertical="center" wrapText="1"/>
    </xf>
    <xf numFmtId="0" fontId="59" fillId="0" borderId="0" xfId="9" applyFont="1" applyAlignment="1">
      <alignment horizontal="center"/>
    </xf>
    <xf numFmtId="0" fontId="59" fillId="0" borderId="0" xfId="9" applyFont="1"/>
    <xf numFmtId="0" fontId="60" fillId="0" borderId="0" xfId="9" applyFont="1" applyAlignment="1">
      <alignment horizontal="right"/>
    </xf>
    <xf numFmtId="0" fontId="59" fillId="0" borderId="0" xfId="9" applyFont="1" applyAlignment="1">
      <alignment vertical="top" wrapText="1"/>
    </xf>
    <xf numFmtId="0" fontId="29" fillId="0" borderId="0" xfId="9" applyFont="1" applyBorder="1" applyAlignment="1">
      <alignment horizontal="center"/>
    </xf>
    <xf numFmtId="0" fontId="29" fillId="0" borderId="0" xfId="9" applyFont="1" applyBorder="1" applyAlignment="1">
      <alignment vertical="top" wrapText="1"/>
    </xf>
    <xf numFmtId="4" fontId="29" fillId="0" borderId="0" xfId="9" applyNumberFormat="1" applyFont="1" applyBorder="1" applyAlignment="1">
      <alignment horizontal="center"/>
    </xf>
    <xf numFmtId="0" fontId="22" fillId="0" borderId="47" xfId="9" applyFont="1" applyBorder="1" applyAlignment="1">
      <alignment horizontal="center" vertical="center" wrapText="1"/>
    </xf>
    <xf numFmtId="0" fontId="6" fillId="0" borderId="0" xfId="9" applyAlignment="1">
      <alignment vertical="center"/>
    </xf>
    <xf numFmtId="9" fontId="29" fillId="0" borderId="25" xfId="9" applyNumberFormat="1" applyFont="1" applyBorder="1" applyAlignment="1">
      <alignment horizontal="center" vertical="center"/>
    </xf>
    <xf numFmtId="9" fontId="29" fillId="0" borderId="20" xfId="9" applyNumberFormat="1" applyFont="1" applyBorder="1" applyAlignment="1">
      <alignment horizontal="center" vertical="center"/>
    </xf>
    <xf numFmtId="9" fontId="29" fillId="0" borderId="6" xfId="9" applyNumberFormat="1" applyFont="1" applyBorder="1" applyAlignment="1">
      <alignment horizontal="center" vertical="center"/>
    </xf>
    <xf numFmtId="9" fontId="29" fillId="0" borderId="6" xfId="9" applyNumberFormat="1" applyFont="1" applyFill="1" applyBorder="1" applyAlignment="1">
      <alignment horizontal="center" vertical="center"/>
    </xf>
    <xf numFmtId="9" fontId="29" fillId="0" borderId="22" xfId="9" applyNumberFormat="1" applyFont="1" applyBorder="1" applyAlignment="1">
      <alignment horizontal="center" vertical="center"/>
    </xf>
    <xf numFmtId="9" fontId="29" fillId="0" borderId="52" xfId="9" applyNumberFormat="1" applyFont="1" applyBorder="1" applyAlignment="1">
      <alignment horizontal="center" vertical="center"/>
    </xf>
    <xf numFmtId="0" fontId="59" fillId="0" borderId="0" xfId="9" applyFont="1" applyBorder="1" applyAlignment="1">
      <alignment horizontal="center"/>
    </xf>
    <xf numFmtId="0" fontId="59" fillId="0" borderId="0" xfId="9" applyFont="1" applyBorder="1"/>
    <xf numFmtId="0" fontId="33" fillId="0" borderId="0" xfId="8" applyFont="1" applyFill="1" applyAlignment="1">
      <alignment horizontal="right"/>
    </xf>
    <xf numFmtId="166" fontId="6" fillId="0" borderId="0" xfId="24" applyNumberFormat="1" applyFont="1" applyAlignment="1">
      <alignment horizontal="right"/>
    </xf>
    <xf numFmtId="0" fontId="6" fillId="0" borderId="0" xfId="3" applyFont="1" applyAlignment="1">
      <alignment horizontal="left" vertical="center"/>
    </xf>
    <xf numFmtId="0" fontId="33" fillId="0" borderId="0" xfId="7" applyFont="1" applyBorder="1" applyAlignment="1"/>
    <xf numFmtId="0" fontId="6" fillId="0" borderId="0" xfId="3" applyFont="1" applyBorder="1"/>
    <xf numFmtId="0" fontId="33" fillId="0" borderId="0" xfId="7" applyFont="1" applyFill="1" applyBorder="1" applyAlignment="1">
      <alignment horizontal="right" vertical="center"/>
    </xf>
    <xf numFmtId="0" fontId="45" fillId="0" borderId="0" xfId="9" applyFont="1" applyBorder="1" applyAlignment="1">
      <alignment vertical="center"/>
    </xf>
    <xf numFmtId="0" fontId="6" fillId="0" borderId="0" xfId="3" applyFont="1" applyAlignment="1">
      <alignment horizontal="center" vertical="center"/>
    </xf>
    <xf numFmtId="0" fontId="32" fillId="0" borderId="0" xfId="3" applyFont="1" applyAlignment="1">
      <alignment horizontal="left" vertical="center"/>
    </xf>
    <xf numFmtId="0" fontId="32" fillId="0" borderId="0" xfId="3" applyFont="1" applyAlignment="1">
      <alignment horizontal="center"/>
    </xf>
    <xf numFmtId="0" fontId="32" fillId="0" borderId="0" xfId="3" applyFont="1" applyAlignment="1">
      <alignment horizontal="center" vertical="center"/>
    </xf>
    <xf numFmtId="166" fontId="32" fillId="0" borderId="0" xfId="24" applyNumberFormat="1" applyFont="1" applyAlignment="1">
      <alignment horizontal="right"/>
    </xf>
    <xf numFmtId="167" fontId="30" fillId="0" borderId="0" xfId="24" applyNumberFormat="1" applyFont="1" applyAlignment="1">
      <alignment horizontal="left"/>
    </xf>
    <xf numFmtId="167" fontId="30" fillId="0" borderId="0" xfId="24" applyNumberFormat="1" applyFont="1" applyAlignment="1">
      <alignment horizontal="center" vertical="center"/>
    </xf>
    <xf numFmtId="167" fontId="30" fillId="0" borderId="0" xfId="24" applyNumberFormat="1" applyFont="1"/>
    <xf numFmtId="49" fontId="31" fillId="0" borderId="0" xfId="3" applyNumberFormat="1" applyFont="1" applyAlignment="1">
      <alignment horizontal="right" vertical="center" wrapText="1"/>
    </xf>
    <xf numFmtId="171" fontId="30" fillId="0" borderId="0" xfId="3" applyNumberFormat="1" applyFont="1" applyBorder="1" applyAlignment="1">
      <alignment horizontal="left"/>
    </xf>
    <xf numFmtId="171" fontId="30" fillId="0" borderId="0" xfId="3" applyNumberFormat="1" applyFont="1" applyBorder="1" applyAlignment="1">
      <alignment horizontal="center"/>
    </xf>
    <xf numFmtId="0" fontId="6" fillId="0" borderId="0" xfId="3" applyFont="1" applyAlignment="1">
      <alignment horizontal="right"/>
    </xf>
    <xf numFmtId="0" fontId="22" fillId="0" borderId="0" xfId="32" applyFont="1" applyAlignment="1">
      <alignment horizontal="right"/>
    </xf>
    <xf numFmtId="0" fontId="22" fillId="0" borderId="0" xfId="32" applyFont="1" applyFill="1" applyAlignment="1">
      <alignment horizontal="right"/>
    </xf>
    <xf numFmtId="0" fontId="29" fillId="0" borderId="0" xfId="3" applyFont="1" applyAlignment="1">
      <alignment horizontal="left" vertical="center"/>
    </xf>
    <xf numFmtId="0" fontId="29" fillId="0" borderId="0" xfId="3" applyFont="1" applyAlignment="1">
      <alignment horizontal="center"/>
    </xf>
    <xf numFmtId="0" fontId="29" fillId="0" borderId="0" xfId="3" applyFont="1" applyAlignment="1">
      <alignment horizontal="center" vertical="center"/>
    </xf>
    <xf numFmtId="0" fontId="13" fillId="5" borderId="1" xfId="3" applyFont="1" applyFill="1" applyBorder="1" applyAlignment="1">
      <alignment horizontal="center" vertical="center"/>
    </xf>
    <xf numFmtId="0" fontId="13" fillId="5" borderId="1" xfId="3" applyFont="1" applyFill="1" applyBorder="1" applyAlignment="1">
      <alignment horizontal="center" vertical="center" wrapText="1"/>
    </xf>
    <xf numFmtId="166" fontId="13" fillId="0" borderId="1" xfId="24" applyNumberFormat="1" applyFont="1" applyFill="1" applyBorder="1" applyAlignment="1">
      <alignment horizontal="center" vertical="center"/>
    </xf>
    <xf numFmtId="0" fontId="19" fillId="2" borderId="1" xfId="3" applyFont="1" applyFill="1" applyBorder="1" applyAlignment="1">
      <alignment horizontal="left" vertical="center" wrapText="1"/>
    </xf>
    <xf numFmtId="0" fontId="19" fillId="2" borderId="1" xfId="3" applyFont="1" applyFill="1" applyBorder="1" applyAlignment="1">
      <alignment horizontal="center" vertical="center" wrapText="1"/>
    </xf>
    <xf numFmtId="167" fontId="19" fillId="0" borderId="1" xfId="24" applyNumberFormat="1" applyFont="1" applyFill="1" applyBorder="1" applyAlignment="1">
      <alignment horizontal="right" vertical="center" wrapText="1"/>
    </xf>
    <xf numFmtId="0" fontId="16" fillId="0" borderId="0" xfId="3" applyFont="1"/>
    <xf numFmtId="0" fontId="25" fillId="4" borderId="7" xfId="3" applyFont="1" applyFill="1" applyBorder="1" applyAlignment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167" fontId="25" fillId="0" borderId="1" xfId="24" applyNumberFormat="1" applyFont="1" applyFill="1" applyBorder="1" applyAlignment="1">
      <alignment horizontal="righ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10" fillId="2" borderId="1" xfId="3" applyFont="1" applyFill="1" applyBorder="1" applyAlignment="1">
      <alignment horizontal="center" vertical="center" wrapText="1"/>
    </xf>
    <xf numFmtId="166" fontId="10" fillId="0" borderId="1" xfId="24" applyNumberFormat="1" applyFont="1" applyFill="1" applyBorder="1" applyAlignment="1">
      <alignment horizontal="right" vertical="center" wrapText="1"/>
    </xf>
    <xf numFmtId="49" fontId="10" fillId="2" borderId="1" xfId="3" applyNumberFormat="1" applyFont="1" applyFill="1" applyBorder="1" applyAlignment="1">
      <alignment horizontal="center" vertical="center" wrapText="1"/>
    </xf>
    <xf numFmtId="0" fontId="9" fillId="2" borderId="1" xfId="3" applyFont="1" applyFill="1" applyBorder="1" applyAlignment="1">
      <alignment horizontal="left" vertical="center" wrapText="1"/>
    </xf>
    <xf numFmtId="49" fontId="9" fillId="2" borderId="1" xfId="3" applyNumberFormat="1" applyFont="1" applyFill="1" applyBorder="1" applyAlignment="1">
      <alignment horizontal="center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0" fontId="9" fillId="0" borderId="0" xfId="9" applyFont="1"/>
    <xf numFmtId="167" fontId="9" fillId="0" borderId="1" xfId="24" applyNumberFormat="1" applyFont="1" applyFill="1" applyBorder="1" applyAlignment="1">
      <alignment horizontal="right" vertical="center" wrapText="1"/>
    </xf>
    <xf numFmtId="166" fontId="9" fillId="0" borderId="1" xfId="24" applyNumberFormat="1" applyFont="1" applyFill="1" applyBorder="1" applyAlignment="1">
      <alignment horizontal="right" vertical="center" wrapText="1"/>
    </xf>
    <xf numFmtId="0" fontId="13" fillId="2" borderId="7" xfId="3" applyFont="1" applyFill="1" applyBorder="1" applyAlignment="1">
      <alignment horizontal="left" vertical="center" wrapText="1"/>
    </xf>
    <xf numFmtId="0" fontId="13" fillId="2" borderId="1" xfId="3" applyFont="1" applyFill="1" applyBorder="1" applyAlignment="1">
      <alignment horizontal="center" vertical="center" wrapText="1"/>
    </xf>
    <xf numFmtId="167" fontId="13" fillId="0" borderId="1" xfId="24" applyNumberFormat="1" applyFont="1" applyFill="1" applyBorder="1" applyAlignment="1">
      <alignment horizontal="right" vertical="center" wrapText="1"/>
    </xf>
    <xf numFmtId="0" fontId="8" fillId="2" borderId="7" xfId="3" applyFont="1" applyFill="1" applyBorder="1" applyAlignment="1">
      <alignment horizontal="left" vertical="center" wrapText="1"/>
    </xf>
    <xf numFmtId="165" fontId="8" fillId="0" borderId="1" xfId="24" applyFont="1" applyFill="1" applyBorder="1" applyAlignment="1">
      <alignment horizontal="right" vertical="center" wrapText="1"/>
    </xf>
    <xf numFmtId="167" fontId="8" fillId="0" borderId="1" xfId="24" applyNumberFormat="1" applyFont="1" applyFill="1" applyBorder="1" applyAlignment="1">
      <alignment horizontal="right" vertical="center" wrapText="1"/>
    </xf>
    <xf numFmtId="0" fontId="9" fillId="2" borderId="7" xfId="3" applyFont="1" applyFill="1" applyBorder="1" applyAlignment="1">
      <alignment horizontal="left" vertical="center" wrapText="1"/>
    </xf>
    <xf numFmtId="166" fontId="13" fillId="0" borderId="1" xfId="24" applyNumberFormat="1" applyFont="1" applyFill="1" applyBorder="1" applyAlignment="1">
      <alignment horizontal="right" vertical="center" wrapText="1"/>
    </xf>
    <xf numFmtId="166" fontId="8" fillId="0" borderId="1" xfId="24" applyNumberFormat="1" applyFont="1" applyFill="1" applyBorder="1" applyAlignment="1">
      <alignment horizontal="right" vertical="center" wrapText="1"/>
    </xf>
    <xf numFmtId="49" fontId="9" fillId="2" borderId="1" xfId="3" applyNumberFormat="1" applyFont="1" applyFill="1" applyBorder="1" applyAlignment="1" applyProtection="1">
      <alignment horizontal="left" vertical="center" wrapText="1"/>
    </xf>
    <xf numFmtId="0" fontId="12" fillId="2" borderId="7" xfId="3" applyFont="1" applyFill="1" applyBorder="1" applyAlignment="1">
      <alignment horizontal="left" vertical="center" wrapText="1"/>
    </xf>
    <xf numFmtId="169" fontId="9" fillId="2" borderId="1" xfId="3" applyNumberFormat="1" applyFont="1" applyFill="1" applyBorder="1" applyAlignment="1" applyProtection="1">
      <alignment horizontal="left" vertical="center" wrapText="1"/>
    </xf>
    <xf numFmtId="169" fontId="9" fillId="2" borderId="7" xfId="3" applyNumberFormat="1" applyFont="1" applyFill="1" applyBorder="1" applyAlignment="1">
      <alignment horizontal="left" vertical="center" wrapText="1"/>
    </xf>
    <xf numFmtId="49" fontId="9" fillId="2" borderId="7" xfId="3" applyNumberFormat="1" applyFont="1" applyFill="1" applyBorder="1" applyAlignment="1">
      <alignment horizontal="left" vertical="center" wrapText="1"/>
    </xf>
    <xf numFmtId="0" fontId="9" fillId="0" borderId="1" xfId="9" applyFont="1" applyBorder="1"/>
    <xf numFmtId="49" fontId="13" fillId="2" borderId="1" xfId="3" applyNumberFormat="1" applyFont="1" applyFill="1" applyBorder="1" applyAlignment="1">
      <alignment horizontal="center" vertical="center" wrapText="1"/>
    </xf>
    <xf numFmtId="49" fontId="25" fillId="2" borderId="7" xfId="3" applyNumberFormat="1" applyFont="1" applyFill="1" applyBorder="1" applyAlignment="1" applyProtection="1">
      <alignment horizontal="left" vertical="center" wrapText="1"/>
    </xf>
    <xf numFmtId="49" fontId="27" fillId="2" borderId="1" xfId="3" applyNumberFormat="1" applyFont="1" applyFill="1" applyBorder="1" applyAlignment="1">
      <alignment horizontal="center" vertical="center" wrapText="1"/>
    </xf>
    <xf numFmtId="0" fontId="24" fillId="2" borderId="1" xfId="3" applyFont="1" applyFill="1" applyBorder="1" applyAlignment="1">
      <alignment horizontal="center" vertical="center" wrapText="1"/>
    </xf>
    <xf numFmtId="49" fontId="24" fillId="2" borderId="1" xfId="3" applyNumberFormat="1" applyFont="1" applyFill="1" applyBorder="1" applyAlignment="1">
      <alignment horizontal="center" vertical="center" wrapText="1"/>
    </xf>
    <xf numFmtId="49" fontId="9" fillId="2" borderId="7" xfId="3" applyNumberFormat="1" applyFont="1" applyFill="1" applyBorder="1" applyAlignment="1" applyProtection="1">
      <alignment horizontal="left" vertical="center" wrapText="1"/>
    </xf>
    <xf numFmtId="0" fontId="8" fillId="2" borderId="1" xfId="3" applyFont="1" applyFill="1" applyBorder="1" applyAlignment="1">
      <alignment horizontal="left" vertical="center" wrapText="1"/>
    </xf>
    <xf numFmtId="0" fontId="24" fillId="4" borderId="7" xfId="3" applyFont="1" applyFill="1" applyBorder="1" applyAlignment="1">
      <alignment horizontal="left" vertical="center" wrapText="1"/>
    </xf>
    <xf numFmtId="49" fontId="24" fillId="4" borderId="1" xfId="3" applyNumberFormat="1" applyFont="1" applyFill="1" applyBorder="1" applyAlignment="1">
      <alignment horizontal="center" vertical="center" wrapText="1"/>
    </xf>
    <xf numFmtId="166" fontId="24" fillId="0" borderId="1" xfId="24" applyNumberFormat="1" applyFont="1" applyFill="1" applyBorder="1" applyAlignment="1">
      <alignment horizontal="right" vertical="center" wrapText="1"/>
    </xf>
    <xf numFmtId="167" fontId="24" fillId="0" borderId="1" xfId="24" applyNumberFormat="1" applyFont="1" applyFill="1" applyBorder="1" applyAlignment="1">
      <alignment horizontal="right" vertical="center" wrapText="1"/>
    </xf>
    <xf numFmtId="0" fontId="21" fillId="2" borderId="7" xfId="3" applyFont="1" applyFill="1" applyBorder="1" applyAlignment="1">
      <alignment horizontal="left" vertical="center" wrapText="1"/>
    </xf>
    <xf numFmtId="49" fontId="20" fillId="2" borderId="1" xfId="3" applyNumberFormat="1" applyFont="1" applyFill="1" applyBorder="1" applyAlignment="1">
      <alignment horizontal="center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166" fontId="8" fillId="0" borderId="7" xfId="24" applyNumberFormat="1" applyFont="1" applyFill="1" applyBorder="1" applyAlignment="1">
      <alignment horizontal="right" vertical="center" wrapText="1"/>
    </xf>
    <xf numFmtId="167" fontId="27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8" fontId="13" fillId="0" borderId="1" xfId="24" applyNumberFormat="1" applyFont="1" applyFill="1" applyBorder="1" applyAlignment="1">
      <alignment horizontal="right" vertical="center" wrapText="1"/>
    </xf>
    <xf numFmtId="0" fontId="16" fillId="2" borderId="0" xfId="3" applyFont="1" applyFill="1"/>
    <xf numFmtId="0" fontId="28" fillId="0" borderId="1" xfId="3" applyFont="1" applyBorder="1" applyAlignment="1">
      <alignment wrapText="1"/>
    </xf>
    <xf numFmtId="49" fontId="27" fillId="4" borderId="1" xfId="3" applyNumberFormat="1" applyFont="1" applyFill="1" applyBorder="1" applyAlignment="1">
      <alignment horizontal="center" vertical="center" wrapText="1"/>
    </xf>
    <xf numFmtId="165" fontId="24" fillId="0" borderId="1" xfId="24" applyFont="1" applyFill="1" applyBorder="1" applyAlignment="1">
      <alignment horizontal="right" vertical="center" wrapText="1"/>
    </xf>
    <xf numFmtId="0" fontId="13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wrapText="1"/>
    </xf>
    <xf numFmtId="0" fontId="8" fillId="2" borderId="1" xfId="3" applyFont="1" applyFill="1" applyBorder="1" applyAlignment="1">
      <alignment wrapText="1"/>
    </xf>
    <xf numFmtId="0" fontId="8" fillId="2" borderId="7" xfId="3" applyFont="1" applyFill="1" applyBorder="1" applyAlignment="1">
      <alignment vertical="top" wrapText="1"/>
    </xf>
    <xf numFmtId="0" fontId="9" fillId="0" borderId="0" xfId="9" applyFont="1" applyAlignment="1">
      <alignment wrapText="1"/>
    </xf>
    <xf numFmtId="167" fontId="8" fillId="0" borderId="15" xfId="24" applyNumberFormat="1" applyFont="1" applyFill="1" applyBorder="1" applyAlignment="1">
      <alignment horizontal="right" vertical="center" wrapText="1"/>
    </xf>
    <xf numFmtId="0" fontId="13" fillId="2" borderId="7" xfId="3" applyFont="1" applyFill="1" applyBorder="1" applyAlignment="1">
      <alignment vertical="top" wrapText="1"/>
    </xf>
    <xf numFmtId="165" fontId="13" fillId="0" borderId="1" xfId="24" applyFont="1" applyFill="1" applyBorder="1" applyAlignment="1">
      <alignment horizontal="right" vertical="center" wrapText="1"/>
    </xf>
    <xf numFmtId="167" fontId="13" fillId="0" borderId="1" xfId="24" applyNumberFormat="1" applyFont="1" applyFill="1" applyBorder="1" applyAlignment="1">
      <alignment vertical="center" wrapText="1"/>
    </xf>
    <xf numFmtId="0" fontId="10" fillId="2" borderId="7" xfId="3" applyFont="1" applyFill="1" applyBorder="1" applyAlignment="1">
      <alignment vertical="top" wrapText="1"/>
    </xf>
    <xf numFmtId="166" fontId="8" fillId="0" borderId="1" xfId="24" applyNumberFormat="1" applyFont="1" applyFill="1" applyBorder="1" applyAlignment="1">
      <alignment vertical="center" wrapText="1"/>
    </xf>
    <xf numFmtId="0" fontId="24" fillId="4" borderId="1" xfId="3" applyFont="1" applyFill="1" applyBorder="1" applyAlignment="1">
      <alignment horizontal="left" vertical="center" wrapText="1"/>
    </xf>
    <xf numFmtId="0" fontId="26" fillId="4" borderId="0" xfId="3" applyFont="1" applyFill="1" applyAlignment="1">
      <alignment horizontal="center" vertical="center"/>
    </xf>
    <xf numFmtId="166" fontId="25" fillId="0" borderId="1" xfId="24" applyNumberFormat="1" applyFont="1" applyFill="1" applyBorder="1" applyAlignment="1">
      <alignment horizontal="right" vertical="center" wrapText="1"/>
    </xf>
    <xf numFmtId="165" fontId="9" fillId="0" borderId="1" xfId="24" applyFont="1" applyFill="1" applyBorder="1" applyAlignment="1">
      <alignment horizontal="right" vertical="center" wrapText="1"/>
    </xf>
    <xf numFmtId="0" fontId="9" fillId="2" borderId="7" xfId="3" applyNumberFormat="1" applyFont="1" applyFill="1" applyBorder="1" applyAlignment="1">
      <alignment horizontal="left" vertical="center" wrapText="1"/>
    </xf>
    <xf numFmtId="0" fontId="19" fillId="0" borderId="0" xfId="3" applyFont="1"/>
    <xf numFmtId="0" fontId="15" fillId="2" borderId="7" xfId="3" applyFont="1" applyFill="1" applyBorder="1" applyAlignment="1">
      <alignment horizontal="left" vertical="center" wrapText="1"/>
    </xf>
    <xf numFmtId="167" fontId="8" fillId="0" borderId="7" xfId="24" applyNumberFormat="1" applyFont="1" applyFill="1" applyBorder="1" applyAlignment="1">
      <alignment vertical="center" wrapText="1"/>
    </xf>
    <xf numFmtId="0" fontId="21" fillId="2" borderId="1" xfId="3" applyFont="1" applyFill="1" applyBorder="1" applyAlignment="1">
      <alignment horizontal="left" vertical="center" wrapText="1"/>
    </xf>
    <xf numFmtId="170" fontId="61" fillId="0" borderId="1" xfId="33" applyFont="1" applyFill="1" applyBorder="1" applyAlignment="1">
      <alignment horizontal="center" vertical="center" wrapText="1"/>
    </xf>
    <xf numFmtId="0" fontId="62" fillId="0" borderId="0" xfId="9" applyFont="1" applyAlignment="1">
      <alignment wrapText="1"/>
    </xf>
    <xf numFmtId="0" fontId="33" fillId="0" borderId="0" xfId="7" applyFont="1" applyFill="1" applyAlignment="1">
      <alignment horizontal="right"/>
    </xf>
    <xf numFmtId="0" fontId="29" fillId="0" borderId="0" xfId="0" applyFont="1" applyFill="1" applyAlignment="1">
      <alignment horizontal="right" vertical="center"/>
    </xf>
    <xf numFmtId="166" fontId="48" fillId="0" borderId="7" xfId="5" applyNumberFormat="1" applyFont="1" applyFill="1" applyBorder="1" applyAlignment="1">
      <alignment horizontal="left" vertical="center" wrapText="1"/>
    </xf>
    <xf numFmtId="172" fontId="37" fillId="0" borderId="7" xfId="5" applyNumberFormat="1" applyFont="1" applyFill="1" applyBorder="1" applyAlignment="1">
      <alignment vertical="center" wrapText="1"/>
    </xf>
    <xf numFmtId="168" fontId="13" fillId="0" borderId="6" xfId="1" applyNumberFormat="1" applyFont="1" applyFill="1" applyBorder="1" applyAlignment="1">
      <alignment vertical="center" wrapText="1"/>
    </xf>
    <xf numFmtId="168" fontId="13" fillId="0" borderId="22" xfId="3" applyNumberFormat="1" applyFont="1" applyFill="1" applyBorder="1" applyAlignment="1">
      <alignment vertical="center" wrapText="1"/>
    </xf>
    <xf numFmtId="168" fontId="8" fillId="0" borderId="3" xfId="1" applyNumberFormat="1" applyFont="1" applyFill="1" applyBorder="1" applyAlignment="1">
      <alignment horizontal="right" vertical="center" wrapText="1"/>
    </xf>
    <xf numFmtId="49" fontId="9" fillId="0" borderId="1" xfId="5" applyNumberFormat="1" applyFont="1" applyFill="1" applyBorder="1" applyAlignment="1">
      <alignment horizontal="left" vertical="center" wrapText="1"/>
    </xf>
    <xf numFmtId="49" fontId="8" fillId="2" borderId="1" xfId="3" applyNumberFormat="1" applyFont="1" applyFill="1" applyBorder="1" applyAlignment="1">
      <alignment horizontal="left" vertical="center" wrapText="1"/>
    </xf>
    <xf numFmtId="0" fontId="9" fillId="2" borderId="1" xfId="3" applyFont="1" applyFill="1" applyBorder="1" applyAlignment="1">
      <alignment horizontal="left" vertical="center"/>
    </xf>
    <xf numFmtId="49" fontId="8" fillId="2" borderId="36" xfId="3" applyNumberFormat="1" applyFont="1" applyFill="1" applyBorder="1" applyAlignment="1">
      <alignment horizontal="center" vertical="center" wrapText="1"/>
    </xf>
    <xf numFmtId="0" fontId="8" fillId="2" borderId="36" xfId="3" applyFont="1" applyFill="1" applyBorder="1" applyAlignment="1">
      <alignment horizontal="center" vertical="center" wrapText="1"/>
    </xf>
    <xf numFmtId="166" fontId="9" fillId="0" borderId="37" xfId="24" applyNumberFormat="1" applyFont="1" applyFill="1" applyBorder="1" applyAlignment="1">
      <alignment horizontal="right" vertical="center" wrapText="1"/>
    </xf>
    <xf numFmtId="169" fontId="63" fillId="0" borderId="1" xfId="9" applyNumberFormat="1" applyFont="1" applyFill="1" applyBorder="1" applyAlignment="1">
      <alignment horizontal="center" vertical="center" wrapText="1"/>
    </xf>
    <xf numFmtId="0" fontId="25" fillId="2" borderId="1" xfId="3" applyFont="1" applyFill="1" applyBorder="1" applyAlignment="1">
      <alignment horizontal="left" vertical="center" wrapText="1"/>
    </xf>
    <xf numFmtId="167" fontId="23" fillId="0" borderId="1" xfId="24" applyNumberFormat="1" applyFont="1" applyFill="1" applyBorder="1" applyAlignment="1">
      <alignment horizontal="center" vertical="top" wrapText="1"/>
    </xf>
    <xf numFmtId="167" fontId="58" fillId="0" borderId="1" xfId="24" applyNumberFormat="1" applyFont="1" applyFill="1" applyBorder="1" applyAlignment="1">
      <alignment horizontal="center" vertical="center" wrapText="1"/>
    </xf>
    <xf numFmtId="172" fontId="9" fillId="0" borderId="1" xfId="5" applyNumberFormat="1" applyFont="1" applyFill="1" applyBorder="1" applyAlignment="1">
      <alignment horizontal="left" vertical="center" wrapText="1"/>
    </xf>
    <xf numFmtId="167" fontId="58" fillId="0" borderId="1" xfId="24" applyNumberFormat="1" applyFont="1" applyFill="1" applyBorder="1" applyAlignment="1">
      <alignment horizontal="right" vertical="center" wrapText="1"/>
    </xf>
    <xf numFmtId="0" fontId="9" fillId="0" borderId="1" xfId="9" applyFont="1" applyFill="1" applyBorder="1" applyAlignment="1">
      <alignment horizontal="left" vertical="center" wrapText="1"/>
    </xf>
    <xf numFmtId="166" fontId="53" fillId="0" borderId="1" xfId="24" applyNumberFormat="1" applyFont="1" applyFill="1" applyBorder="1" applyAlignment="1">
      <alignment horizontal="center" vertical="center" wrapText="1"/>
    </xf>
    <xf numFmtId="0" fontId="9" fillId="0" borderId="1" xfId="9" applyFont="1" applyBorder="1" applyAlignment="1">
      <alignment horizontal="left" vertical="center"/>
    </xf>
    <xf numFmtId="166" fontId="8" fillId="0" borderId="1" xfId="24" applyNumberFormat="1" applyFont="1" applyFill="1" applyBorder="1" applyAlignment="1">
      <alignment horizontal="center" vertical="center" wrapText="1"/>
    </xf>
    <xf numFmtId="166" fontId="9" fillId="0" borderId="1" xfId="24" applyNumberFormat="1" applyFont="1" applyFill="1" applyBorder="1" applyAlignment="1">
      <alignment horizontal="center" vertical="center" wrapText="1"/>
    </xf>
    <xf numFmtId="169" fontId="9" fillId="2" borderId="1" xfId="3" applyNumberFormat="1" applyFont="1" applyFill="1" applyBorder="1" applyAlignment="1">
      <alignment horizontal="left" vertical="center" wrapText="1"/>
    </xf>
    <xf numFmtId="0" fontId="48" fillId="0" borderId="57" xfId="5" applyFont="1" applyFill="1" applyBorder="1" applyAlignment="1">
      <alignment horizontal="center" vertical="center"/>
    </xf>
    <xf numFmtId="174" fontId="47" fillId="0" borderId="1" xfId="5" applyNumberFormat="1" applyFont="1" applyFill="1" applyBorder="1" applyAlignment="1">
      <alignment horizontal="right" vertical="center" wrapText="1"/>
    </xf>
    <xf numFmtId="0" fontId="64" fillId="0" borderId="1" xfId="0" applyFont="1" applyBorder="1" applyAlignment="1">
      <alignment horizontal="left" vertical="center" wrapText="1"/>
    </xf>
    <xf numFmtId="0" fontId="9" fillId="0" borderId="1" xfId="3" applyFont="1" applyFill="1" applyBorder="1" applyAlignment="1">
      <alignment horizontal="center"/>
    </xf>
    <xf numFmtId="174" fontId="8" fillId="0" borderId="1" xfId="24" applyNumberFormat="1" applyFont="1" applyFill="1" applyBorder="1" applyAlignment="1">
      <alignment horizontal="right" vertical="center" wrapText="1"/>
    </xf>
    <xf numFmtId="0" fontId="9" fillId="0" borderId="2" xfId="3" applyFont="1" applyFill="1" applyBorder="1" applyAlignment="1">
      <alignment horizontal="left" vertical="center"/>
    </xf>
    <xf numFmtId="0" fontId="9" fillId="0" borderId="2" xfId="3" applyFont="1" applyFill="1" applyBorder="1" applyAlignment="1">
      <alignment horizontal="center"/>
    </xf>
    <xf numFmtId="0" fontId="9" fillId="0" borderId="2" xfId="3" applyFont="1" applyFill="1" applyBorder="1" applyAlignment="1">
      <alignment horizontal="center" vertical="center"/>
    </xf>
    <xf numFmtId="166" fontId="8" fillId="0" borderId="18" xfId="24" applyNumberFormat="1" applyFont="1" applyFill="1" applyBorder="1" applyAlignment="1">
      <alignment horizontal="right" vertical="center" wrapText="1"/>
    </xf>
    <xf numFmtId="168" fontId="12" fillId="0" borderId="2" xfId="3" applyNumberFormat="1" applyFont="1" applyFill="1" applyBorder="1" applyAlignment="1">
      <alignment horizontal="center" vertical="center" wrapText="1"/>
    </xf>
    <xf numFmtId="168" fontId="9" fillId="0" borderId="2" xfId="3" applyNumberFormat="1" applyFont="1" applyFill="1" applyBorder="1"/>
    <xf numFmtId="174" fontId="8" fillId="0" borderId="18" xfId="24" applyNumberFormat="1" applyFont="1" applyFill="1" applyBorder="1" applyAlignment="1">
      <alignment horizontal="right" vertical="center" wrapText="1"/>
    </xf>
    <xf numFmtId="0" fontId="9" fillId="0" borderId="1" xfId="9" applyFont="1" applyFill="1" applyBorder="1"/>
    <xf numFmtId="174" fontId="8" fillId="0" borderId="7" xfId="24" applyNumberFormat="1" applyFont="1" applyFill="1" applyBorder="1" applyAlignment="1">
      <alignment horizontal="right" vertical="center" wrapText="1"/>
    </xf>
    <xf numFmtId="166" fontId="13" fillId="0" borderId="7" xfId="25" applyNumberFormat="1" applyFont="1" applyFill="1" applyBorder="1" applyAlignment="1">
      <alignment horizontal="right" vertical="center" wrapText="1"/>
    </xf>
    <xf numFmtId="173" fontId="9" fillId="0" borderId="1" xfId="11" applyNumberFormat="1" applyFont="1" applyFill="1" applyBorder="1" applyAlignment="1" applyProtection="1">
      <alignment horizontal="left" vertical="center" wrapText="1"/>
    </xf>
    <xf numFmtId="49" fontId="8" fillId="0" borderId="1" xfId="3" applyNumberFormat="1" applyFont="1" applyFill="1" applyBorder="1" applyAlignment="1">
      <alignment horizontal="left" vertical="center" wrapText="1"/>
    </xf>
    <xf numFmtId="166" fontId="9" fillId="0" borderId="1" xfId="25" applyNumberFormat="1" applyFont="1" applyFill="1" applyBorder="1" applyAlignment="1">
      <alignment horizontal="left" vertical="center" wrapText="1"/>
    </xf>
    <xf numFmtId="0" fontId="6" fillId="0" borderId="0" xfId="3" applyFont="1" applyFill="1" applyBorder="1" applyAlignment="1">
      <alignment horizontal="left" vertical="center"/>
    </xf>
    <xf numFmtId="0" fontId="39" fillId="0" borderId="57" xfId="5" applyFont="1" applyFill="1" applyBorder="1" applyAlignment="1">
      <alignment horizontal="center" vertical="center"/>
    </xf>
    <xf numFmtId="172" fontId="47" fillId="0" borderId="1" xfId="5" applyNumberFormat="1" applyFont="1" applyFill="1" applyBorder="1" applyAlignment="1">
      <alignment horizontal="left" vertical="center" wrapText="1"/>
    </xf>
    <xf numFmtId="172" fontId="48" fillId="0" borderId="1" xfId="5" applyNumberFormat="1" applyFont="1" applyFill="1" applyBorder="1" applyAlignment="1">
      <alignment horizontal="left" vertical="center" wrapText="1"/>
    </xf>
    <xf numFmtId="0" fontId="9" fillId="0" borderId="1" xfId="3" applyFont="1" applyFill="1" applyBorder="1" applyAlignment="1">
      <alignment horizontal="left" vertical="center"/>
    </xf>
    <xf numFmtId="172" fontId="37" fillId="0" borderId="7" xfId="5" applyNumberFormat="1" applyFont="1" applyFill="1" applyBorder="1" applyAlignment="1">
      <alignment horizontal="left" vertical="center" wrapText="1" indent="2"/>
    </xf>
    <xf numFmtId="0" fontId="39" fillId="0" borderId="0" xfId="9" applyFont="1" applyFill="1" applyBorder="1" applyAlignment="1">
      <alignment wrapText="1"/>
    </xf>
    <xf numFmtId="172" fontId="39" fillId="0" borderId="7" xfId="5" applyNumberFormat="1" applyFont="1" applyFill="1" applyBorder="1" applyAlignment="1">
      <alignment vertical="center" wrapText="1"/>
    </xf>
    <xf numFmtId="166" fontId="39" fillId="0" borderId="1" xfId="5" applyNumberFormat="1" applyFont="1" applyFill="1" applyBorder="1" applyAlignment="1">
      <alignment horizontal="left" vertical="center" wrapText="1" indent="2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0" xfId="3" applyFont="1" applyFill="1"/>
    <xf numFmtId="166" fontId="11" fillId="0" borderId="0" xfId="24" applyNumberFormat="1" applyFont="1" applyFill="1" applyAlignment="1">
      <alignment horizontal="right"/>
    </xf>
    <xf numFmtId="172" fontId="48" fillId="0" borderId="7" xfId="5" applyNumberFormat="1" applyFont="1" applyFill="1" applyBorder="1" applyAlignment="1">
      <alignment horizontal="left" vertical="center" wrapText="1"/>
    </xf>
    <xf numFmtId="49" fontId="47" fillId="0" borderId="1" xfId="3" applyNumberFormat="1" applyFont="1" applyFill="1" applyBorder="1" applyAlignment="1">
      <alignment horizontal="center" vertical="center" wrapText="1"/>
    </xf>
    <xf numFmtId="0" fontId="37" fillId="0" borderId="15" xfId="3" applyFont="1" applyFill="1" applyBorder="1" applyAlignment="1">
      <alignment vertical="top" wrapText="1"/>
    </xf>
    <xf numFmtId="0" fontId="37" fillId="0" borderId="7" xfId="3" applyFont="1" applyFill="1" applyBorder="1" applyAlignment="1">
      <alignment vertical="top" wrapText="1"/>
    </xf>
    <xf numFmtId="0" fontId="39" fillId="0" borderId="61" xfId="5" applyFont="1" applyFill="1" applyBorder="1" applyAlignment="1">
      <alignment horizontal="center" vertical="center"/>
    </xf>
    <xf numFmtId="0" fontId="39" fillId="0" borderId="62" xfId="8" applyFont="1" applyFill="1" applyBorder="1" applyAlignment="1">
      <alignment horizontal="left" vertical="center" wrapText="1"/>
    </xf>
    <xf numFmtId="49" fontId="39" fillId="0" borderId="62" xfId="5" applyNumberFormat="1" applyFont="1" applyFill="1" applyBorder="1" applyAlignment="1">
      <alignment horizontal="center" vertical="center" wrapText="1"/>
    </xf>
    <xf numFmtId="168" fontId="39" fillId="0" borderId="62" xfId="5" applyNumberFormat="1" applyFont="1" applyFill="1" applyBorder="1" applyAlignment="1">
      <alignment horizontal="right" vertical="center" wrapText="1"/>
    </xf>
    <xf numFmtId="168" fontId="39" fillId="0" borderId="63" xfId="5" applyNumberFormat="1" applyFont="1" applyFill="1" applyBorder="1" applyAlignment="1">
      <alignment horizontal="right" vertical="center" wrapText="1"/>
    </xf>
    <xf numFmtId="172" fontId="37" fillId="0" borderId="2" xfId="5" applyNumberFormat="1" applyFont="1" applyFill="1" applyBorder="1" applyAlignment="1">
      <alignment horizontal="left" vertical="center" wrapText="1" indent="2"/>
    </xf>
    <xf numFmtId="166" fontId="37" fillId="0" borderId="2" xfId="5" applyNumberFormat="1" applyFont="1" applyFill="1" applyBorder="1" applyAlignment="1">
      <alignment horizontal="left" vertical="center" wrapText="1" indent="2"/>
    </xf>
    <xf numFmtId="49" fontId="37" fillId="0" borderId="2" xfId="5" applyNumberFormat="1" applyFont="1" applyFill="1" applyBorder="1" applyAlignment="1">
      <alignment horizontal="center" vertical="center" wrapText="1"/>
    </xf>
    <xf numFmtId="168" fontId="37" fillId="0" borderId="2" xfId="5" applyNumberFormat="1" applyFont="1" applyFill="1" applyBorder="1" applyAlignment="1">
      <alignment horizontal="right" vertical="center" wrapText="1"/>
    </xf>
    <xf numFmtId="168" fontId="37" fillId="0" borderId="20" xfId="5" applyNumberFormat="1" applyFont="1" applyFill="1" applyBorder="1" applyAlignment="1">
      <alignment horizontal="right" vertical="center" wrapText="1"/>
    </xf>
    <xf numFmtId="172" fontId="37" fillId="0" borderId="2" xfId="5" applyNumberFormat="1" applyFont="1" applyFill="1" applyBorder="1" applyAlignment="1">
      <alignment horizontal="left" vertical="center" wrapText="1"/>
    </xf>
    <xf numFmtId="166" fontId="37" fillId="0" borderId="2" xfId="5" applyNumberFormat="1" applyFont="1" applyFill="1" applyBorder="1" applyAlignment="1">
      <alignment horizontal="left" vertical="center" wrapText="1"/>
    </xf>
    <xf numFmtId="0" fontId="37" fillId="0" borderId="5" xfId="5" applyFont="1" applyFill="1" applyBorder="1" applyAlignment="1">
      <alignment vertical="center"/>
    </xf>
    <xf numFmtId="168" fontId="42" fillId="0" borderId="4" xfId="5" applyNumberFormat="1" applyFont="1" applyFill="1" applyBorder="1" applyAlignment="1">
      <alignment horizontal="right" vertical="center" wrapText="1"/>
    </xf>
    <xf numFmtId="0" fontId="38" fillId="0" borderId="15" xfId="3" applyFont="1" applyFill="1" applyBorder="1" applyAlignment="1">
      <alignment vertical="top" wrapText="1"/>
    </xf>
    <xf numFmtId="0" fontId="38" fillId="0" borderId="7" xfId="3" applyFont="1" applyFill="1" applyBorder="1" applyAlignment="1">
      <alignment vertical="top" wrapText="1"/>
    </xf>
    <xf numFmtId="166" fontId="13" fillId="0" borderId="7" xfId="25" applyNumberFormat="1" applyFont="1" applyFill="1" applyBorder="1" applyAlignment="1">
      <alignment horizontal="center" vertical="center"/>
    </xf>
    <xf numFmtId="167" fontId="8" fillId="0" borderId="7" xfId="25" applyNumberFormat="1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horizontal="right" vertical="center" wrapText="1"/>
    </xf>
    <xf numFmtId="49" fontId="13" fillId="0" borderId="7" xfId="3" applyNumberFormat="1" applyFont="1" applyFill="1" applyBorder="1" applyAlignment="1">
      <alignment vertical="center" wrapText="1"/>
    </xf>
    <xf numFmtId="166" fontId="10" fillId="0" borderId="7" xfId="25" applyNumberFormat="1" applyFont="1" applyFill="1" applyBorder="1" applyAlignment="1">
      <alignment horizontal="right" vertical="center" wrapText="1"/>
    </xf>
    <xf numFmtId="166" fontId="9" fillId="0" borderId="7" xfId="25" applyNumberFormat="1" applyFont="1" applyFill="1" applyBorder="1" applyAlignment="1">
      <alignment horizontal="right" vertical="center" wrapText="1"/>
    </xf>
    <xf numFmtId="167" fontId="9" fillId="0" borderId="7" xfId="25" applyNumberFormat="1" applyFont="1" applyFill="1" applyBorder="1" applyAlignment="1">
      <alignment horizontal="right" vertical="center" wrapText="1"/>
    </xf>
    <xf numFmtId="167" fontId="9" fillId="0" borderId="7" xfId="31" applyNumberFormat="1" applyFont="1" applyFill="1" applyBorder="1" applyAlignment="1">
      <alignment horizontal="left" vertical="center" wrapText="1"/>
    </xf>
    <xf numFmtId="167" fontId="8" fillId="0" borderId="18" xfId="25" applyNumberFormat="1" applyFont="1" applyFill="1" applyBorder="1" applyAlignment="1">
      <alignment horizontal="right" vertical="center" wrapText="1"/>
    </xf>
    <xf numFmtId="168" fontId="8" fillId="0" borderId="7" xfId="3" applyNumberFormat="1" applyFont="1" applyFill="1" applyBorder="1" applyAlignment="1">
      <alignment vertical="center" wrapText="1"/>
    </xf>
    <xf numFmtId="167" fontId="13" fillId="0" borderId="7" xfId="25" applyNumberFormat="1" applyFont="1" applyFill="1" applyBorder="1" applyAlignment="1">
      <alignment horizontal="right" vertical="center" wrapText="1"/>
    </xf>
    <xf numFmtId="49" fontId="8" fillId="0" borderId="7" xfId="3" applyNumberFormat="1" applyFont="1" applyFill="1" applyBorder="1" applyAlignment="1">
      <alignment vertical="center" wrapText="1"/>
    </xf>
    <xf numFmtId="168" fontId="13" fillId="0" borderId="7" xfId="25" applyNumberFormat="1" applyFont="1" applyFill="1" applyBorder="1" applyAlignment="1" applyProtection="1">
      <alignment horizontal="right" vertical="center" wrapText="1"/>
      <protection locked="0"/>
    </xf>
    <xf numFmtId="168" fontId="10" fillId="0" borderId="7" xfId="25" applyNumberFormat="1" applyFont="1" applyFill="1" applyBorder="1" applyAlignment="1">
      <alignment horizontal="right" vertical="center" wrapText="1"/>
    </xf>
    <xf numFmtId="168" fontId="9" fillId="0" borderId="7" xfId="25" applyNumberFormat="1" applyFont="1" applyFill="1" applyBorder="1" applyAlignment="1">
      <alignment horizontal="right" vertical="center" wrapText="1"/>
    </xf>
    <xf numFmtId="166" fontId="9" fillId="0" borderId="7" xfId="25" applyNumberFormat="1" applyFont="1" applyFill="1" applyBorder="1" applyAlignment="1">
      <alignment horizontal="left" vertical="center" wrapText="1"/>
    </xf>
    <xf numFmtId="168" fontId="13" fillId="0" borderId="7" xfId="25" applyNumberFormat="1" applyFont="1" applyFill="1" applyBorder="1" applyAlignment="1">
      <alignment horizontal="right" vertical="center" wrapText="1"/>
    </xf>
    <xf numFmtId="166" fontId="10" fillId="0" borderId="7" xfId="25" applyNumberFormat="1" applyFont="1" applyFill="1" applyBorder="1" applyAlignment="1">
      <alignment horizontal="right"/>
    </xf>
    <xf numFmtId="166" fontId="9" fillId="0" borderId="7" xfId="25" applyNumberFormat="1" applyFont="1" applyFill="1" applyBorder="1" applyAlignment="1">
      <alignment horizontal="right"/>
    </xf>
    <xf numFmtId="166" fontId="10" fillId="0" borderId="2" xfId="25" applyNumberFormat="1" applyFont="1" applyFill="1" applyBorder="1" applyAlignment="1">
      <alignment horizontal="right"/>
    </xf>
    <xf numFmtId="166" fontId="6" fillId="0" borderId="2" xfId="25" applyNumberFormat="1" applyFont="1" applyFill="1" applyBorder="1" applyAlignment="1">
      <alignment horizontal="right"/>
    </xf>
    <xf numFmtId="166" fontId="11" fillId="0" borderId="2" xfId="25" applyNumberFormat="1" applyFont="1" applyFill="1" applyBorder="1" applyAlignment="1">
      <alignment horizontal="right"/>
    </xf>
    <xf numFmtId="166" fontId="13" fillId="0" borderId="26" xfId="25" applyNumberFormat="1" applyFont="1" applyFill="1" applyBorder="1" applyAlignment="1">
      <alignment horizontal="center" vertical="center"/>
    </xf>
    <xf numFmtId="166" fontId="6" fillId="0" borderId="27" xfId="25" applyNumberFormat="1" applyFont="1" applyFill="1" applyBorder="1" applyAlignment="1">
      <alignment horizontal="right"/>
    </xf>
    <xf numFmtId="166" fontId="13" fillId="0" borderId="25" xfId="25" applyNumberFormat="1" applyFont="1" applyFill="1" applyBorder="1" applyAlignment="1">
      <alignment horizontal="center" vertical="center"/>
    </xf>
    <xf numFmtId="166" fontId="6" fillId="0" borderId="0" xfId="25" applyNumberFormat="1" applyFont="1" applyFill="1" applyBorder="1" applyAlignment="1">
      <alignment horizontal="right"/>
    </xf>
    <xf numFmtId="168" fontId="13" fillId="0" borderId="6" xfId="25" applyNumberFormat="1" applyFont="1" applyFill="1" applyBorder="1" applyAlignment="1">
      <alignment horizontal="right" vertical="center"/>
    </xf>
    <xf numFmtId="167" fontId="13" fillId="0" borderId="6" xfId="25" applyNumberFormat="1" applyFont="1" applyFill="1" applyBorder="1" applyAlignment="1">
      <alignment horizontal="center" vertical="center"/>
    </xf>
    <xf numFmtId="167" fontId="13" fillId="0" borderId="6" xfId="25" applyNumberFormat="1" applyFont="1" applyFill="1" applyBorder="1" applyAlignment="1">
      <alignment vertical="center" wrapText="1"/>
    </xf>
    <xf numFmtId="167" fontId="8" fillId="0" borderId="9" xfId="25" applyNumberFormat="1" applyFont="1" applyFill="1" applyBorder="1" applyAlignment="1">
      <alignment horizontal="right"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6" fontId="8" fillId="0" borderId="9" xfId="25" applyNumberFormat="1" applyFont="1" applyFill="1" applyBorder="1" applyAlignment="1">
      <alignment horizontal="right" vertical="center" wrapText="1"/>
    </xf>
    <xf numFmtId="166" fontId="13" fillId="0" borderId="9" xfId="25" applyNumberFormat="1" applyFont="1" applyFill="1" applyBorder="1" applyAlignment="1">
      <alignment horizontal="right" vertical="center" wrapText="1"/>
    </xf>
    <xf numFmtId="0" fontId="17" fillId="0" borderId="8" xfId="31" applyFont="1" applyFill="1" applyBorder="1" applyAlignment="1">
      <alignment horizontal="left" vertical="center" wrapText="1"/>
    </xf>
    <xf numFmtId="49" fontId="13" fillId="0" borderId="9" xfId="3" applyNumberFormat="1" applyFont="1" applyFill="1" applyBorder="1" applyAlignment="1">
      <alignment vertical="center" wrapText="1"/>
    </xf>
    <xf numFmtId="166" fontId="10" fillId="0" borderId="9" xfId="25" applyNumberFormat="1" applyFont="1" applyFill="1" applyBorder="1" applyAlignment="1">
      <alignment horizontal="right" vertical="center" wrapText="1"/>
    </xf>
    <xf numFmtId="166" fontId="9" fillId="0" borderId="9" xfId="25" applyNumberFormat="1" applyFont="1" applyFill="1" applyBorder="1" applyAlignment="1">
      <alignment horizontal="right" vertical="center" wrapText="1"/>
    </xf>
    <xf numFmtId="167" fontId="9" fillId="0" borderId="9" xfId="25" applyNumberFormat="1" applyFont="1" applyFill="1" applyBorder="1" applyAlignment="1">
      <alignment horizontal="right" vertical="center" wrapText="1"/>
    </xf>
    <xf numFmtId="166" fontId="8" fillId="0" borderId="6" xfId="25" applyNumberFormat="1" applyFont="1" applyFill="1" applyBorder="1" applyAlignment="1">
      <alignment horizontal="right" vertical="center" wrapText="1"/>
    </xf>
    <xf numFmtId="167" fontId="8" fillId="0" borderId="9" xfId="1" applyNumberFormat="1" applyFont="1" applyFill="1" applyBorder="1" applyAlignment="1">
      <alignment horizontal="right" vertical="center" wrapText="1"/>
    </xf>
    <xf numFmtId="167" fontId="9" fillId="0" borderId="9" xfId="31" applyNumberFormat="1" applyFont="1" applyFill="1" applyBorder="1" applyAlignment="1">
      <alignment horizontal="left" vertical="center" wrapText="1"/>
    </xf>
    <xf numFmtId="167" fontId="8" fillId="0" borderId="20" xfId="25" applyNumberFormat="1" applyFont="1" applyFill="1" applyBorder="1" applyAlignment="1">
      <alignment horizontal="right" vertical="center" wrapText="1"/>
    </xf>
    <xf numFmtId="167" fontId="13" fillId="0" borderId="9" xfId="25" applyNumberFormat="1" applyFont="1" applyFill="1" applyBorder="1" applyAlignment="1">
      <alignment horizontal="right" vertical="center" wrapText="1"/>
    </xf>
    <xf numFmtId="49" fontId="8" fillId="0" borderId="9" xfId="3" applyNumberFormat="1" applyFont="1" applyFill="1" applyBorder="1" applyAlignment="1">
      <alignment vertical="center" wrapText="1"/>
    </xf>
    <xf numFmtId="168" fontId="13" fillId="0" borderId="9" xfId="25" applyNumberFormat="1" applyFont="1" applyFill="1" applyBorder="1" applyAlignment="1" applyProtection="1">
      <alignment horizontal="right" vertical="center" wrapText="1"/>
      <protection locked="0"/>
    </xf>
    <xf numFmtId="168" fontId="10" fillId="0" borderId="9" xfId="25" applyNumberFormat="1" applyFont="1" applyFill="1" applyBorder="1" applyAlignment="1">
      <alignment horizontal="right" vertical="center" wrapText="1"/>
    </xf>
    <xf numFmtId="168" fontId="9" fillId="0" borderId="9" xfId="25" applyNumberFormat="1" applyFont="1" applyFill="1" applyBorder="1" applyAlignment="1">
      <alignment horizontal="right" vertical="center" wrapText="1"/>
    </xf>
    <xf numFmtId="168" fontId="13" fillId="0" borderId="9" xfId="25" applyNumberFormat="1" applyFont="1" applyFill="1" applyBorder="1" applyAlignment="1">
      <alignment horizontal="right" vertical="center" wrapText="1"/>
    </xf>
    <xf numFmtId="178" fontId="6" fillId="0" borderId="0" xfId="3" applyNumberFormat="1" applyFont="1" applyFill="1" applyBorder="1"/>
    <xf numFmtId="166" fontId="9" fillId="0" borderId="9" xfId="24" applyNumberFormat="1" applyFont="1" applyFill="1" applyBorder="1" applyAlignment="1">
      <alignment horizontal="right"/>
    </xf>
    <xf numFmtId="0" fontId="16" fillId="0" borderId="11" xfId="3" applyFont="1" applyFill="1" applyBorder="1"/>
    <xf numFmtId="0" fontId="6" fillId="0" borderId="11" xfId="3" applyFont="1" applyFill="1" applyBorder="1"/>
    <xf numFmtId="167" fontId="8" fillId="0" borderId="9" xfId="25" applyNumberFormat="1" applyFont="1" applyFill="1" applyBorder="1" applyAlignment="1">
      <alignment vertical="center" wrapText="1"/>
    </xf>
    <xf numFmtId="167" fontId="13" fillId="0" borderId="17" xfId="25" applyNumberFormat="1" applyFont="1" applyFill="1" applyBorder="1" applyAlignment="1">
      <alignment vertical="center" wrapText="1"/>
    </xf>
    <xf numFmtId="167" fontId="8" fillId="0" borderId="17" xfId="25" applyNumberFormat="1" applyFont="1" applyFill="1" applyBorder="1" applyAlignment="1">
      <alignment vertical="center" wrapText="1"/>
    </xf>
    <xf numFmtId="166" fontId="10" fillId="0" borderId="9" xfId="25" applyNumberFormat="1" applyFont="1" applyFill="1" applyBorder="1" applyAlignment="1">
      <alignment horizontal="right"/>
    </xf>
    <xf numFmtId="166" fontId="9" fillId="0" borderId="9" xfId="25" applyNumberFormat="1" applyFont="1" applyFill="1" applyBorder="1" applyAlignment="1">
      <alignment horizontal="right"/>
    </xf>
    <xf numFmtId="0" fontId="6" fillId="0" borderId="8" xfId="3" applyFont="1" applyFill="1" applyBorder="1" applyAlignment="1">
      <alignment horizontal="left" vertical="center"/>
    </xf>
    <xf numFmtId="166" fontId="13" fillId="0" borderId="6" xfId="25" applyNumberFormat="1" applyFont="1" applyFill="1" applyBorder="1" applyAlignment="1">
      <alignment horizontal="right" vertical="center" wrapText="1"/>
    </xf>
    <xf numFmtId="168" fontId="39" fillId="0" borderId="7" xfId="5" applyNumberFormat="1" applyFont="1" applyFill="1" applyBorder="1" applyAlignment="1">
      <alignment horizontal="right" vertical="center" wrapText="1"/>
    </xf>
    <xf numFmtId="0" fontId="47" fillId="0" borderId="8" xfId="5" applyFont="1" applyFill="1" applyBorder="1" applyAlignment="1">
      <alignment horizontal="center" vertical="center"/>
    </xf>
    <xf numFmtId="0" fontId="47" fillId="0" borderId="57" xfId="5" applyFont="1" applyFill="1" applyBorder="1" applyAlignment="1">
      <alignment horizontal="center" vertical="center"/>
    </xf>
    <xf numFmtId="0" fontId="9" fillId="0" borderId="8" xfId="3" applyFont="1" applyFill="1" applyBorder="1"/>
    <xf numFmtId="0" fontId="9" fillId="0" borderId="21" xfId="3" applyFont="1" applyFill="1" applyBorder="1"/>
    <xf numFmtId="168" fontId="39" fillId="0" borderId="28" xfId="5" applyNumberFormat="1" applyFont="1" applyFill="1" applyBorder="1" applyAlignment="1">
      <alignment horizontal="center" vertical="center" wrapText="1"/>
    </xf>
    <xf numFmtId="168" fontId="11" fillId="0" borderId="15" xfId="5" applyNumberFormat="1" applyFont="1" applyFill="1" applyBorder="1" applyAlignment="1">
      <alignment horizontal="right" vertical="center" wrapText="1"/>
    </xf>
    <xf numFmtId="168" fontId="39" fillId="0" borderId="60" xfId="5" applyNumberFormat="1" applyFont="1" applyFill="1" applyBorder="1" applyAlignment="1">
      <alignment horizontal="right" vertical="center" wrapText="1"/>
    </xf>
    <xf numFmtId="168" fontId="39" fillId="0" borderId="18" xfId="5" applyNumberFormat="1" applyFont="1" applyFill="1" applyBorder="1" applyAlignment="1">
      <alignment horizontal="right" vertical="center" wrapText="1"/>
    </xf>
    <xf numFmtId="168" fontId="39" fillId="0" borderId="7" xfId="5" applyNumberFormat="1" applyFont="1" applyFill="1" applyBorder="1" applyAlignment="1">
      <alignment horizontal="right" vertical="center"/>
    </xf>
    <xf numFmtId="168" fontId="37" fillId="0" borderId="7" xfId="5" applyNumberFormat="1" applyFont="1" applyFill="1" applyBorder="1" applyAlignment="1">
      <alignment horizontal="right" vertical="center"/>
    </xf>
    <xf numFmtId="168" fontId="37" fillId="0" borderId="15" xfId="5" applyNumberFormat="1" applyFont="1" applyFill="1" applyBorder="1" applyAlignment="1">
      <alignment horizontal="right" vertical="center"/>
    </xf>
    <xf numFmtId="168" fontId="39" fillId="0" borderId="7" xfId="14" applyNumberFormat="1" applyFont="1" applyFill="1" applyBorder="1" applyAlignment="1">
      <alignment horizontal="right" vertical="center"/>
    </xf>
    <xf numFmtId="168" fontId="37" fillId="0" borderId="7" xfId="14" applyNumberFormat="1" applyFont="1" applyFill="1" applyBorder="1" applyAlignment="1">
      <alignment horizontal="right" vertical="center"/>
    </xf>
    <xf numFmtId="168" fontId="39" fillId="0" borderId="9" xfId="14" applyNumberFormat="1" applyFont="1" applyFill="1" applyBorder="1" applyAlignment="1">
      <alignment horizontal="right" vertical="center"/>
    </xf>
    <xf numFmtId="0" fontId="39" fillId="0" borderId="1" xfId="8" applyFont="1" applyFill="1" applyBorder="1" applyAlignment="1">
      <alignment horizontal="left" vertical="center" wrapText="1"/>
    </xf>
    <xf numFmtId="172" fontId="37" fillId="0" borderId="1" xfId="5" applyNumberFormat="1" applyFont="1" applyFill="1" applyBorder="1" applyAlignment="1">
      <alignment vertical="center" wrapText="1"/>
    </xf>
    <xf numFmtId="0" fontId="6" fillId="0" borderId="35" xfId="5" applyFont="1" applyFill="1" applyBorder="1" applyAlignment="1">
      <alignment horizontal="center" vertical="center"/>
    </xf>
    <xf numFmtId="172" fontId="11" fillId="0" borderId="36" xfId="5" applyNumberFormat="1" applyFont="1" applyFill="1" applyBorder="1" applyAlignment="1">
      <alignment horizontal="left" vertical="center" wrapText="1"/>
    </xf>
    <xf numFmtId="166" fontId="11" fillId="0" borderId="36" xfId="5" applyNumberFormat="1" applyFont="1" applyFill="1" applyBorder="1" applyAlignment="1">
      <alignment horizontal="left" vertical="center" wrapText="1"/>
    </xf>
    <xf numFmtId="49" fontId="11" fillId="0" borderId="36" xfId="5" applyNumberFormat="1" applyFont="1" applyFill="1" applyBorder="1" applyAlignment="1">
      <alignment horizontal="center" vertical="center" wrapText="1"/>
    </xf>
    <xf numFmtId="168" fontId="11" fillId="0" borderId="37" xfId="5" applyNumberFormat="1" applyFont="1" applyFill="1" applyBorder="1" applyAlignment="1">
      <alignment horizontal="right" vertical="center" wrapText="1"/>
    </xf>
    <xf numFmtId="0" fontId="39" fillId="0" borderId="33" xfId="5" applyFont="1" applyFill="1" applyBorder="1" applyAlignment="1">
      <alignment horizontal="center" vertical="center" wrapText="1"/>
    </xf>
    <xf numFmtId="172" fontId="39" fillId="0" borderId="32" xfId="5" applyNumberFormat="1" applyFont="1" applyFill="1" applyBorder="1" applyAlignment="1">
      <alignment horizontal="center" vertical="center" wrapText="1"/>
    </xf>
    <xf numFmtId="166" fontId="39" fillId="0" borderId="32" xfId="5" applyNumberFormat="1" applyFont="1" applyFill="1" applyBorder="1" applyAlignment="1">
      <alignment horizontal="center" vertical="center" wrapText="1"/>
    </xf>
    <xf numFmtId="168" fontId="39" fillId="0" borderId="31" xfId="5" applyNumberFormat="1" applyFont="1" applyFill="1" applyBorder="1" applyAlignment="1">
      <alignment horizontal="center" vertical="center" wrapText="1"/>
    </xf>
    <xf numFmtId="168" fontId="6" fillId="0" borderId="9" xfId="3" applyNumberFormat="1" applyFont="1" applyFill="1" applyBorder="1"/>
    <xf numFmtId="175" fontId="52" fillId="0" borderId="43" xfId="26" applyNumberFormat="1" applyFont="1" applyFill="1" applyBorder="1" applyAlignment="1">
      <alignment horizontal="center"/>
    </xf>
    <xf numFmtId="0" fontId="33" fillId="0" borderId="0" xfId="7" applyFont="1" applyFill="1" applyAlignment="1">
      <alignment horizontal="center"/>
    </xf>
    <xf numFmtId="0" fontId="33" fillId="0" borderId="0" xfId="7" applyFont="1" applyFill="1" applyAlignment="1">
      <alignment horizontal="right"/>
    </xf>
    <xf numFmtId="0" fontId="29" fillId="0" borderId="0" xfId="9" applyFont="1" applyFill="1" applyAlignment="1">
      <alignment horizontal="right" vertical="center"/>
    </xf>
    <xf numFmtId="0" fontId="29" fillId="0" borderId="0" xfId="0" applyFont="1" applyFill="1" applyAlignment="1">
      <alignment horizontal="right" vertical="center"/>
    </xf>
    <xf numFmtId="0" fontId="6" fillId="0" borderId="0" xfId="9" applyFill="1" applyAlignment="1">
      <alignment horizontal="right" vertical="center"/>
    </xf>
    <xf numFmtId="0" fontId="5" fillId="0" borderId="0" xfId="7" applyFont="1" applyFill="1"/>
    <xf numFmtId="168" fontId="50" fillId="0" borderId="0" xfId="25" applyNumberFormat="1" applyFont="1" applyFill="1" applyAlignment="1"/>
    <xf numFmtId="0" fontId="29" fillId="0" borderId="0" xfId="0" applyFont="1" applyFill="1" applyAlignment="1">
      <alignment horizontal="center" vertical="center"/>
    </xf>
    <xf numFmtId="0" fontId="5" fillId="0" borderId="0" xfId="7" applyFill="1" applyAlignment="1"/>
    <xf numFmtId="168" fontId="50" fillId="0" borderId="2" xfId="25" applyNumberFormat="1" applyFont="1" applyFill="1" applyBorder="1" applyAlignment="1"/>
    <xf numFmtId="168" fontId="50" fillId="0" borderId="2" xfId="7" applyNumberFormat="1" applyFont="1" applyFill="1" applyBorder="1" applyAlignment="1"/>
    <xf numFmtId="168" fontId="50" fillId="0" borderId="1" xfId="25" applyNumberFormat="1" applyFont="1" applyFill="1" applyBorder="1" applyAlignment="1"/>
    <xf numFmtId="174" fontId="50" fillId="0" borderId="1" xfId="7" applyNumberFormat="1" applyFont="1" applyFill="1" applyBorder="1" applyAlignment="1"/>
    <xf numFmtId="174" fontId="50" fillId="0" borderId="1" xfId="25" applyNumberFormat="1" applyFont="1" applyFill="1" applyBorder="1" applyAlignment="1"/>
    <xf numFmtId="168" fontId="50" fillId="0" borderId="28" xfId="25" applyNumberFormat="1" applyFont="1" applyFill="1" applyBorder="1" applyAlignment="1"/>
    <xf numFmtId="168" fontId="50" fillId="0" borderId="26" xfId="25" applyNumberFormat="1" applyFont="1" applyFill="1" applyBorder="1" applyAlignment="1"/>
    <xf numFmtId="174" fontId="50" fillId="0" borderId="25" xfId="25" applyNumberFormat="1" applyFont="1" applyFill="1" applyBorder="1" applyAlignment="1"/>
    <xf numFmtId="168" fontId="50" fillId="0" borderId="1" xfId="7" applyNumberFormat="1" applyFont="1" applyFill="1" applyBorder="1" applyAlignment="1"/>
    <xf numFmtId="0" fontId="64" fillId="0" borderId="1" xfId="0" applyFont="1" applyFill="1" applyBorder="1" applyAlignment="1">
      <alignment horizontal="left" vertical="center" wrapText="1"/>
    </xf>
    <xf numFmtId="172" fontId="39" fillId="0" borderId="1" xfId="5" applyNumberFormat="1" applyFont="1" applyFill="1" applyBorder="1" applyAlignment="1">
      <alignment horizontal="left" vertical="center" wrapText="1" indent="2"/>
    </xf>
    <xf numFmtId="168" fontId="56" fillId="0" borderId="0" xfId="3" applyNumberFormat="1" applyFont="1" applyFill="1"/>
    <xf numFmtId="0" fontId="56" fillId="0" borderId="0" xfId="3" applyFont="1" applyFill="1" applyBorder="1"/>
    <xf numFmtId="168" fontId="56" fillId="0" borderId="0" xfId="3" applyNumberFormat="1" applyFont="1" applyFill="1" applyBorder="1"/>
    <xf numFmtId="49" fontId="12" fillId="0" borderId="7" xfId="3" applyNumberFormat="1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/>
    </xf>
    <xf numFmtId="166" fontId="10" fillId="0" borderId="20" xfId="25" applyNumberFormat="1" applyFont="1" applyFill="1" applyBorder="1" applyAlignment="1">
      <alignment horizontal="right"/>
    </xf>
    <xf numFmtId="0" fontId="6" fillId="0" borderId="4" xfId="3" applyFont="1" applyFill="1" applyBorder="1" applyAlignment="1">
      <alignment horizontal="left" vertical="center"/>
    </xf>
    <xf numFmtId="0" fontId="6" fillId="0" borderId="4" xfId="3" applyFont="1" applyFill="1" applyBorder="1" applyAlignment="1">
      <alignment horizontal="center"/>
    </xf>
    <xf numFmtId="0" fontId="6" fillId="0" borderId="4" xfId="3" applyFont="1" applyFill="1" applyBorder="1" applyAlignment="1">
      <alignment horizontal="center" vertical="center"/>
    </xf>
    <xf numFmtId="49" fontId="9" fillId="0" borderId="4" xfId="3" applyNumberFormat="1" applyFont="1" applyFill="1" applyBorder="1" applyAlignment="1" applyProtection="1">
      <alignment horizontal="center" vertical="center" wrapText="1"/>
    </xf>
    <xf numFmtId="166" fontId="8" fillId="0" borderId="4" xfId="25" applyNumberFormat="1" applyFont="1" applyFill="1" applyBorder="1" applyAlignment="1">
      <alignment horizontal="right" vertical="center" wrapText="1"/>
    </xf>
    <xf numFmtId="166" fontId="6" fillId="0" borderId="4" xfId="25" applyNumberFormat="1" applyFont="1" applyFill="1" applyBorder="1" applyAlignment="1">
      <alignment horizontal="right"/>
    </xf>
    <xf numFmtId="166" fontId="8" fillId="0" borderId="3" xfId="25" applyNumberFormat="1" applyFont="1" applyFill="1" applyBorder="1" applyAlignment="1">
      <alignment horizontal="right" vertical="center" wrapText="1"/>
    </xf>
    <xf numFmtId="49" fontId="12" fillId="0" borderId="7" xfId="3" applyNumberFormat="1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/>
    </xf>
    <xf numFmtId="168" fontId="10" fillId="0" borderId="20" xfId="1" applyNumberFormat="1" applyFont="1" applyFill="1" applyBorder="1" applyAlignment="1">
      <alignment horizontal="right"/>
    </xf>
    <xf numFmtId="166" fontId="8" fillId="0" borderId="4" xfId="1" applyNumberFormat="1" applyFont="1" applyFill="1" applyBorder="1" applyAlignment="1">
      <alignment horizontal="right" vertical="center" wrapText="1"/>
    </xf>
    <xf numFmtId="166" fontId="6" fillId="0" borderId="4" xfId="1" applyNumberFormat="1" applyFont="1" applyFill="1" applyBorder="1" applyAlignment="1">
      <alignment horizontal="right"/>
    </xf>
    <xf numFmtId="168" fontId="50" fillId="0" borderId="1" xfId="25" applyNumberFormat="1" applyFont="1" applyFill="1" applyBorder="1" applyAlignment="1"/>
    <xf numFmtId="43" fontId="50" fillId="0" borderId="45" xfId="26" applyFont="1" applyFill="1" applyBorder="1" applyAlignment="1">
      <alignment horizontal="center"/>
    </xf>
    <xf numFmtId="43" fontId="50" fillId="0" borderId="47" xfId="26" applyFont="1" applyFill="1" applyBorder="1" applyAlignment="1">
      <alignment horizontal="center"/>
    </xf>
    <xf numFmtId="168" fontId="50" fillId="0" borderId="1" xfId="7" applyNumberFormat="1" applyFont="1" applyFill="1" applyBorder="1" applyAlignment="1"/>
    <xf numFmtId="0" fontId="6" fillId="0" borderId="1" xfId="3" applyFont="1" applyFill="1" applyBorder="1" applyAlignment="1">
      <alignment horizontal="center"/>
    </xf>
    <xf numFmtId="167" fontId="6" fillId="0" borderId="0" xfId="3" applyNumberFormat="1" applyFont="1" applyFill="1" applyBorder="1"/>
    <xf numFmtId="171" fontId="16" fillId="0" borderId="0" xfId="3" applyNumberFormat="1" applyFont="1" applyFill="1" applyBorder="1"/>
    <xf numFmtId="0" fontId="9" fillId="6" borderId="1" xfId="3" applyFont="1" applyFill="1" applyBorder="1" applyAlignment="1">
      <alignment horizontal="center" vertical="center"/>
    </xf>
    <xf numFmtId="49" fontId="9" fillId="6" borderId="1" xfId="3" applyNumberFormat="1" applyFont="1" applyFill="1" applyBorder="1" applyAlignment="1">
      <alignment horizontal="center" vertical="center" wrapText="1"/>
    </xf>
    <xf numFmtId="49" fontId="8" fillId="6" borderId="1" xfId="3" applyNumberFormat="1" applyFont="1" applyFill="1" applyBorder="1" applyAlignment="1">
      <alignment horizontal="center" vertical="center" wrapText="1"/>
    </xf>
    <xf numFmtId="49" fontId="8" fillId="6" borderId="1" xfId="25" applyNumberFormat="1" applyFont="1" applyFill="1" applyBorder="1" applyAlignment="1">
      <alignment horizontal="right" vertical="center" wrapText="1"/>
    </xf>
    <xf numFmtId="166" fontId="8" fillId="6" borderId="1" xfId="25" applyNumberFormat="1" applyFont="1" applyFill="1" applyBorder="1" applyAlignment="1">
      <alignment horizontal="right" vertical="center" wrapText="1"/>
    </xf>
    <xf numFmtId="49" fontId="9" fillId="6" borderId="7" xfId="3" applyNumberFormat="1" applyFont="1" applyFill="1" applyBorder="1" applyAlignment="1">
      <alignment horizontal="right" vertical="center" wrapText="1"/>
    </xf>
    <xf numFmtId="168" fontId="12" fillId="6" borderId="1" xfId="3" applyNumberFormat="1" applyFont="1" applyFill="1" applyBorder="1" applyAlignment="1">
      <alignment horizontal="center" vertical="center" wrapText="1"/>
    </xf>
    <xf numFmtId="168" fontId="9" fillId="6" borderId="1" xfId="3" applyNumberFormat="1" applyFont="1" applyFill="1" applyBorder="1"/>
    <xf numFmtId="168" fontId="9" fillId="6" borderId="7" xfId="3" applyNumberFormat="1" applyFont="1" applyFill="1" applyBorder="1" applyAlignment="1">
      <alignment horizontal="right" vertical="center" wrapText="1"/>
    </xf>
    <xf numFmtId="0" fontId="22" fillId="0" borderId="0" xfId="27" applyFont="1" applyAlignment="1">
      <alignment horizontal="center" wrapText="1"/>
    </xf>
    <xf numFmtId="166" fontId="10" fillId="0" borderId="1" xfId="27" applyNumberFormat="1" applyFont="1" applyFill="1" applyBorder="1" applyAlignment="1">
      <alignment horizontal="center"/>
    </xf>
    <xf numFmtId="0" fontId="6" fillId="6" borderId="8" xfId="3" applyFont="1" applyFill="1" applyBorder="1"/>
    <xf numFmtId="0" fontId="9" fillId="6" borderId="1" xfId="0" applyFont="1" applyFill="1" applyBorder="1"/>
    <xf numFmtId="49" fontId="12" fillId="6" borderId="7" xfId="3" applyNumberFormat="1" applyFont="1" applyFill="1" applyBorder="1" applyAlignment="1">
      <alignment horizontal="center" vertical="center" wrapText="1"/>
    </xf>
    <xf numFmtId="0" fontId="8" fillId="6" borderId="1" xfId="3" applyFont="1" applyFill="1" applyBorder="1" applyAlignment="1">
      <alignment horizontal="left" vertical="center" wrapText="1"/>
    </xf>
    <xf numFmtId="0" fontId="15" fillId="6" borderId="7" xfId="3" applyFont="1" applyFill="1" applyBorder="1" applyAlignment="1">
      <alignment horizontal="left" vertical="center" wrapText="1"/>
    </xf>
    <xf numFmtId="0" fontId="67" fillId="0" borderId="1" xfId="4" applyFont="1" applyFill="1" applyBorder="1" applyAlignment="1">
      <alignment horizontal="left" vertical="center" wrapText="1"/>
    </xf>
    <xf numFmtId="0" fontId="48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68" fillId="0" borderId="1" xfId="0" applyNumberFormat="1" applyFont="1" applyFill="1" applyBorder="1" applyAlignment="1">
      <alignment horizontal="center" vertical="center" wrapText="1"/>
    </xf>
    <xf numFmtId="49" fontId="69" fillId="0" borderId="1" xfId="0" applyNumberFormat="1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68" fontId="13" fillId="0" borderId="1" xfId="0" applyNumberFormat="1" applyFont="1" applyFill="1" applyBorder="1" applyAlignment="1">
      <alignment horizontal="right" vertical="center" wrapText="1"/>
    </xf>
    <xf numFmtId="168" fontId="8" fillId="0" borderId="1" xfId="0" applyNumberFormat="1" applyFont="1" applyFill="1" applyBorder="1" applyAlignment="1">
      <alignment horizontal="right" vertical="center" wrapText="1"/>
    </xf>
    <xf numFmtId="0" fontId="9" fillId="7" borderId="7" xfId="4" applyFont="1" applyFill="1" applyBorder="1" applyAlignment="1">
      <alignment horizontal="left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168" fontId="8" fillId="0" borderId="64" xfId="0" applyNumberFormat="1" applyFont="1" applyFill="1" applyBorder="1" applyAlignment="1">
      <alignment horizontal="right" vertical="center" wrapText="1"/>
    </xf>
    <xf numFmtId="0" fontId="9" fillId="0" borderId="4" xfId="3" applyFont="1" applyFill="1" applyBorder="1" applyAlignment="1">
      <alignment horizontal="left" vertical="center"/>
    </xf>
    <xf numFmtId="0" fontId="6" fillId="0" borderId="64" xfId="3" applyFont="1" applyFill="1" applyBorder="1"/>
    <xf numFmtId="0" fontId="9" fillId="7" borderId="18" xfId="4" applyFont="1" applyFill="1" applyBorder="1" applyAlignment="1">
      <alignment horizontal="left" vertical="center" wrapText="1"/>
    </xf>
    <xf numFmtId="49" fontId="13" fillId="0" borderId="2" xfId="3" applyNumberFormat="1" applyFont="1" applyFill="1" applyBorder="1" applyAlignment="1">
      <alignment horizontal="center" vertical="center" wrapText="1"/>
    </xf>
    <xf numFmtId="167" fontId="13" fillId="0" borderId="20" xfId="25" applyNumberFormat="1" applyFont="1" applyFill="1" applyBorder="1" applyAlignment="1">
      <alignment horizontal="right" vertical="center" wrapText="1"/>
    </xf>
    <xf numFmtId="167" fontId="13" fillId="0" borderId="9" xfId="1" applyNumberFormat="1" applyFont="1" applyFill="1" applyBorder="1" applyAlignment="1">
      <alignment horizontal="right" vertical="center" wrapText="1"/>
    </xf>
    <xf numFmtId="0" fontId="9" fillId="0" borderId="13" xfId="3" applyFont="1" applyFill="1" applyBorder="1" applyAlignment="1"/>
    <xf numFmtId="0" fontId="48" fillId="0" borderId="1" xfId="3" applyFont="1" applyFill="1" applyBorder="1" applyAlignment="1">
      <alignment horizontal="center" vertical="top" wrapText="1"/>
    </xf>
    <xf numFmtId="170" fontId="48" fillId="0" borderId="1" xfId="33" applyFont="1" applyFill="1" applyBorder="1" applyAlignment="1">
      <alignment horizontal="center" vertical="center" wrapText="1"/>
    </xf>
    <xf numFmtId="0" fontId="10" fillId="0" borderId="13" xfId="3" applyFont="1" applyFill="1" applyBorder="1" applyAlignment="1">
      <alignment horizontal="left" wrapText="1"/>
    </xf>
    <xf numFmtId="166" fontId="9" fillId="0" borderId="1" xfId="3" applyNumberFormat="1" applyFont="1" applyFill="1" applyBorder="1" applyAlignment="1">
      <alignment horizontal="right" wrapText="1"/>
    </xf>
    <xf numFmtId="0" fontId="9" fillId="0" borderId="13" xfId="3" applyFont="1" applyBorder="1" applyAlignment="1">
      <alignment vertical="center" wrapText="1"/>
    </xf>
    <xf numFmtId="0" fontId="9" fillId="0" borderId="1" xfId="3" applyFont="1" applyBorder="1" applyAlignment="1">
      <alignment horizontal="center" vertical="center" wrapText="1"/>
    </xf>
    <xf numFmtId="0" fontId="9" fillId="0" borderId="13" xfId="3" applyFont="1" applyFill="1" applyBorder="1" applyAlignment="1">
      <alignment horizontal="center" vertical="center"/>
    </xf>
    <xf numFmtId="167" fontId="9" fillId="0" borderId="1" xfId="24" applyNumberFormat="1" applyFont="1" applyFill="1" applyBorder="1" applyAlignment="1">
      <alignment vertical="center"/>
    </xf>
    <xf numFmtId="167" fontId="10" fillId="0" borderId="1" xfId="24" applyNumberFormat="1" applyFont="1" applyFill="1" applyBorder="1" applyAlignment="1">
      <alignment horizontal="left" vertical="center"/>
    </xf>
    <xf numFmtId="0" fontId="9" fillId="0" borderId="13" xfId="9" applyFont="1" applyBorder="1" applyAlignment="1">
      <alignment horizontal="center" wrapText="1"/>
    </xf>
    <xf numFmtId="0" fontId="9" fillId="0" borderId="1" xfId="9" applyFont="1" applyBorder="1" applyAlignment="1">
      <alignment horizontal="center" wrapText="1"/>
    </xf>
    <xf numFmtId="0" fontId="9" fillId="0" borderId="13" xfId="3" applyFont="1" applyFill="1" applyBorder="1" applyAlignment="1">
      <alignment horizontal="center" vertical="top" wrapText="1"/>
    </xf>
    <xf numFmtId="166" fontId="9" fillId="0" borderId="1" xfId="9" applyNumberFormat="1" applyFont="1" applyBorder="1" applyAlignment="1">
      <alignment horizontal="right" wrapText="1"/>
    </xf>
    <xf numFmtId="166" fontId="9" fillId="0" borderId="0" xfId="24" applyNumberFormat="1" applyFont="1" applyAlignment="1">
      <alignment horizontal="right"/>
    </xf>
    <xf numFmtId="166" fontId="9" fillId="0" borderId="1" xfId="3" applyNumberFormat="1" applyFont="1" applyBorder="1"/>
    <xf numFmtId="0" fontId="9" fillId="0" borderId="1" xfId="3" applyFont="1" applyBorder="1"/>
    <xf numFmtId="167" fontId="25" fillId="0" borderId="1" xfId="24" applyNumberFormat="1" applyFont="1" applyFill="1" applyBorder="1" applyAlignment="1">
      <alignment horizontal="right"/>
    </xf>
    <xf numFmtId="0" fontId="33" fillId="0" borderId="0" xfId="7" applyFont="1" applyFill="1" applyAlignment="1">
      <alignment horizontal="right"/>
    </xf>
    <xf numFmtId="0" fontId="29" fillId="0" borderId="0" xfId="9" applyFont="1" applyFill="1" applyAlignment="1">
      <alignment horizontal="right" vertical="center"/>
    </xf>
    <xf numFmtId="166" fontId="8" fillId="8" borderId="7" xfId="25" applyNumberFormat="1" applyFont="1" applyFill="1" applyBorder="1" applyAlignment="1">
      <alignment horizontal="right" vertical="center" wrapText="1"/>
    </xf>
    <xf numFmtId="166" fontId="8" fillId="8" borderId="1" xfId="25" applyNumberFormat="1" applyFont="1" applyFill="1" applyBorder="1" applyAlignment="1">
      <alignment horizontal="right" vertical="center" wrapText="1"/>
    </xf>
    <xf numFmtId="0" fontId="9" fillId="0" borderId="0" xfId="7" applyFont="1" applyFill="1"/>
    <xf numFmtId="0" fontId="29" fillId="0" borderId="45" xfId="7" applyFont="1" applyFill="1" applyBorder="1"/>
    <xf numFmtId="0" fontId="29" fillId="0" borderId="46" xfId="7" applyFont="1" applyFill="1" applyBorder="1" applyAlignment="1">
      <alignment horizontal="center"/>
    </xf>
    <xf numFmtId="0" fontId="29" fillId="0" borderId="47" xfId="7" applyFont="1" applyFill="1" applyBorder="1"/>
    <xf numFmtId="0" fontId="29" fillId="0" borderId="46" xfId="7" applyFont="1" applyFill="1" applyBorder="1"/>
    <xf numFmtId="0" fontId="22" fillId="0" borderId="39" xfId="7" applyFont="1" applyFill="1" applyBorder="1"/>
    <xf numFmtId="0" fontId="22" fillId="0" borderId="27" xfId="7" applyFont="1" applyFill="1" applyBorder="1"/>
    <xf numFmtId="0" fontId="22" fillId="0" borderId="40" xfId="7" applyFont="1" applyFill="1" applyBorder="1"/>
    <xf numFmtId="0" fontId="22" fillId="0" borderId="42" xfId="7" applyFont="1" applyFill="1" applyBorder="1"/>
    <xf numFmtId="0" fontId="22" fillId="0" borderId="38" xfId="7" applyFont="1" applyFill="1" applyBorder="1"/>
    <xf numFmtId="0" fontId="22" fillId="0" borderId="43" xfId="7" applyFont="1" applyFill="1" applyBorder="1"/>
    <xf numFmtId="0" fontId="29" fillId="0" borderId="39" xfId="7" applyFont="1" applyFill="1" applyBorder="1"/>
    <xf numFmtId="0" fontId="29" fillId="0" borderId="27" xfId="7" applyFont="1" applyFill="1" applyBorder="1"/>
    <xf numFmtId="0" fontId="29" fillId="0" borderId="40" xfId="7" applyFont="1" applyFill="1" applyBorder="1"/>
    <xf numFmtId="0" fontId="29" fillId="0" borderId="42" xfId="7" applyFont="1" applyFill="1" applyBorder="1"/>
    <xf numFmtId="0" fontId="29" fillId="0" borderId="38" xfId="7" applyFont="1" applyFill="1" applyBorder="1"/>
    <xf numFmtId="0" fontId="29" fillId="0" borderId="43" xfId="7" applyFont="1" applyFill="1" applyBorder="1"/>
    <xf numFmtId="0" fontId="22" fillId="0" borderId="45" xfId="7" applyFont="1" applyFill="1" applyBorder="1" applyAlignment="1">
      <alignment horizontal="center" vertical="center"/>
    </xf>
    <xf numFmtId="0" fontId="22" fillId="0" borderId="46" xfId="7" applyFont="1" applyFill="1" applyBorder="1" applyAlignment="1">
      <alignment horizontal="center" vertical="center"/>
    </xf>
    <xf numFmtId="0" fontId="22" fillId="0" borderId="47" xfId="7" applyFont="1" applyFill="1" applyBorder="1" applyAlignment="1">
      <alignment horizontal="center" vertical="center"/>
    </xf>
    <xf numFmtId="175" fontId="22" fillId="0" borderId="38" xfId="26" applyNumberFormat="1" applyFont="1" applyFill="1" applyBorder="1" applyAlignment="1">
      <alignment horizontal="right" vertical="distributed"/>
    </xf>
    <xf numFmtId="175" fontId="22" fillId="0" borderId="43" xfId="26" applyNumberFormat="1" applyFont="1" applyFill="1" applyBorder="1" applyAlignment="1">
      <alignment horizontal="right" vertical="distributed"/>
    </xf>
    <xf numFmtId="0" fontId="22" fillId="0" borderId="45" xfId="7" applyFont="1" applyFill="1" applyBorder="1"/>
    <xf numFmtId="0" fontId="22" fillId="0" borderId="46" xfId="7" applyFont="1" applyFill="1" applyBorder="1"/>
    <xf numFmtId="0" fontId="22" fillId="0" borderId="47" xfId="7" applyFont="1" applyFill="1" applyBorder="1"/>
    <xf numFmtId="0" fontId="29" fillId="0" borderId="48" xfId="7" applyFont="1" applyFill="1" applyBorder="1"/>
    <xf numFmtId="0" fontId="29" fillId="0" borderId="0" xfId="7" applyFont="1" applyFill="1" applyBorder="1"/>
    <xf numFmtId="0" fontId="29" fillId="0" borderId="11" xfId="7" applyFont="1" applyFill="1" applyBorder="1"/>
    <xf numFmtId="0" fontId="22" fillId="0" borderId="48" xfId="7" applyFont="1" applyFill="1" applyBorder="1"/>
    <xf numFmtId="0" fontId="22" fillId="0" borderId="0" xfId="7" applyFont="1" applyFill="1" applyBorder="1"/>
    <xf numFmtId="0" fontId="22" fillId="0" borderId="11" xfId="7" applyFont="1" applyFill="1" applyBorder="1"/>
    <xf numFmtId="0" fontId="9" fillId="0" borderId="0" xfId="7" applyFont="1" applyFill="1" applyBorder="1"/>
    <xf numFmtId="0" fontId="29" fillId="0" borderId="49" xfId="7" applyFont="1" applyFill="1" applyBorder="1"/>
    <xf numFmtId="0" fontId="29" fillId="0" borderId="10" xfId="7" applyFont="1" applyFill="1" applyBorder="1"/>
    <xf numFmtId="0" fontId="29" fillId="0" borderId="17" xfId="7" applyFont="1" applyFill="1" applyBorder="1"/>
    <xf numFmtId="0" fontId="29" fillId="0" borderId="53" xfId="7" applyFont="1" applyFill="1" applyBorder="1"/>
    <xf numFmtId="0" fontId="22" fillId="0" borderId="54" xfId="7" applyFont="1" applyFill="1" applyBorder="1"/>
    <xf numFmtId="0" fontId="22" fillId="0" borderId="55" xfId="7" applyFont="1" applyFill="1" applyBorder="1"/>
    <xf numFmtId="0" fontId="22" fillId="0" borderId="49" xfId="7" applyFont="1" applyFill="1" applyBorder="1"/>
    <xf numFmtId="0" fontId="22" fillId="0" borderId="10" xfId="7" applyFont="1" applyFill="1" applyBorder="1"/>
    <xf numFmtId="0" fontId="22" fillId="0" borderId="17" xfId="7" applyFont="1" applyFill="1" applyBorder="1"/>
    <xf numFmtId="168" fontId="29" fillId="0" borderId="0" xfId="24" applyNumberFormat="1" applyFont="1" applyFill="1" applyAlignment="1"/>
    <xf numFmtId="168" fontId="29" fillId="0" borderId="0" xfId="7" applyNumberFormat="1" applyFont="1" applyFill="1" applyAlignment="1"/>
    <xf numFmtId="0" fontId="72" fillId="0" borderId="0" xfId="7" applyFont="1" applyFill="1"/>
    <xf numFmtId="168" fontId="29" fillId="0" borderId="1" xfId="24" applyNumberFormat="1" applyFont="1" applyFill="1" applyBorder="1" applyAlignment="1">
      <alignment horizontal="right" vertical="distributed"/>
    </xf>
    <xf numFmtId="168" fontId="29" fillId="0" borderId="1" xfId="7" applyNumberFormat="1" applyFont="1" applyFill="1" applyBorder="1" applyAlignment="1">
      <alignment horizontal="right" vertical="distributed"/>
    </xf>
    <xf numFmtId="168" fontId="22" fillId="0" borderId="38" xfId="26" applyNumberFormat="1" applyFont="1" applyFill="1" applyBorder="1" applyAlignment="1">
      <alignment horizontal="right" vertical="distributed"/>
    </xf>
    <xf numFmtId="168" fontId="22" fillId="0" borderId="43" xfId="26" applyNumberFormat="1" applyFont="1" applyFill="1" applyBorder="1" applyAlignment="1">
      <alignment horizontal="right" vertical="distributed"/>
    </xf>
    <xf numFmtId="168" fontId="29" fillId="0" borderId="0" xfId="24" applyNumberFormat="1" applyFont="1" applyFill="1" applyAlignment="1">
      <alignment horizontal="right" vertical="distributed"/>
    </xf>
    <xf numFmtId="168" fontId="29" fillId="0" borderId="0" xfId="7" applyNumberFormat="1" applyFont="1" applyFill="1" applyAlignment="1">
      <alignment horizontal="right" vertical="distributed"/>
    </xf>
    <xf numFmtId="168" fontId="29" fillId="0" borderId="28" xfId="24" applyNumberFormat="1" applyFont="1" applyFill="1" applyBorder="1" applyAlignment="1">
      <alignment horizontal="right" vertical="distributed"/>
    </xf>
    <xf numFmtId="168" fontId="29" fillId="0" borderId="26" xfId="24" applyNumberFormat="1" applyFont="1" applyFill="1" applyBorder="1" applyAlignment="1">
      <alignment horizontal="right" vertical="distributed"/>
    </xf>
    <xf numFmtId="168" fontId="29" fillId="0" borderId="25" xfId="24" applyNumberFormat="1" applyFont="1" applyFill="1" applyBorder="1" applyAlignment="1">
      <alignment horizontal="right" vertical="distributed"/>
    </xf>
    <xf numFmtId="168" fontId="22" fillId="0" borderId="45" xfId="26" applyNumberFormat="1" applyFont="1" applyFill="1" applyBorder="1" applyAlignment="1">
      <alignment horizontal="right" vertical="distributed"/>
    </xf>
    <xf numFmtId="168" fontId="29" fillId="0" borderId="47" xfId="7" applyNumberFormat="1" applyFont="1" applyFill="1" applyBorder="1" applyAlignment="1">
      <alignment horizontal="right" vertical="distributed"/>
    </xf>
    <xf numFmtId="0" fontId="45" fillId="0" borderId="0" xfId="3" applyFont="1" applyFill="1" applyBorder="1"/>
    <xf numFmtId="0" fontId="71" fillId="0" borderId="0" xfId="3" applyFont="1" applyFill="1" applyBorder="1"/>
    <xf numFmtId="0" fontId="18" fillId="0" borderId="0" xfId="3" applyFont="1" applyFill="1" applyBorder="1"/>
    <xf numFmtId="0" fontId="70" fillId="0" borderId="0" xfId="3" applyFont="1" applyFill="1" applyBorder="1"/>
    <xf numFmtId="0" fontId="54" fillId="0" borderId="0" xfId="3" applyFont="1" applyFill="1" applyAlignment="1">
      <alignment horizontal="center" vertical="center"/>
    </xf>
    <xf numFmtId="0" fontId="45" fillId="0" borderId="0" xfId="3" applyFont="1" applyFill="1"/>
    <xf numFmtId="166" fontId="45" fillId="0" borderId="0" xfId="3" applyNumberFormat="1" applyFont="1" applyFill="1"/>
    <xf numFmtId="172" fontId="37" fillId="0" borderId="1" xfId="5" applyNumberFormat="1" applyFont="1" applyFill="1" applyBorder="1" applyAlignment="1">
      <alignment horizontal="left" vertical="top" wrapText="1" indent="2"/>
    </xf>
    <xf numFmtId="49" fontId="37" fillId="0" borderId="1" xfId="5" applyNumberFormat="1" applyFont="1" applyFill="1" applyBorder="1" applyAlignment="1">
      <alignment horizontal="center" vertical="top" wrapText="1"/>
    </xf>
    <xf numFmtId="49" fontId="37" fillId="0" borderId="1" xfId="14" applyNumberFormat="1" applyFont="1" applyFill="1" applyBorder="1" applyAlignment="1">
      <alignment horizontal="center" vertical="top" wrapText="1"/>
    </xf>
    <xf numFmtId="176" fontId="29" fillId="0" borderId="47" xfId="26" applyNumberFormat="1" applyFont="1" applyFill="1" applyBorder="1" applyAlignment="1">
      <alignment horizontal="center" vertical="distributed"/>
    </xf>
    <xf numFmtId="176" fontId="29" fillId="0" borderId="47" xfId="26" applyNumberFormat="1" applyFont="1" applyFill="1" applyBorder="1" applyAlignment="1">
      <alignment horizontal="right" vertical="distributed"/>
    </xf>
    <xf numFmtId="168" fontId="29" fillId="0" borderId="47" xfId="7" applyNumberFormat="1" applyFont="1" applyFill="1" applyBorder="1" applyAlignment="1">
      <alignment horizontal="right" vertical="distributed"/>
    </xf>
    <xf numFmtId="174" fontId="29" fillId="0" borderId="47" xfId="7" applyNumberFormat="1" applyFont="1" applyFill="1" applyBorder="1" applyAlignment="1">
      <alignment horizontal="right" vertical="distributed"/>
    </xf>
    <xf numFmtId="43" fontId="29" fillId="0" borderId="47" xfId="26" applyFont="1" applyFill="1" applyBorder="1" applyAlignment="1">
      <alignment horizontal="right" vertical="distributed"/>
    </xf>
    <xf numFmtId="176" fontId="29" fillId="0" borderId="55" xfId="26" applyNumberFormat="1" applyFont="1" applyFill="1" applyBorder="1" applyAlignment="1">
      <alignment horizontal="distributed" vertical="distributed"/>
    </xf>
    <xf numFmtId="175" fontId="22" fillId="0" borderId="43" xfId="26" applyNumberFormat="1" applyFont="1" applyFill="1" applyBorder="1" applyAlignment="1">
      <alignment horizontal="right" vertical="distributed"/>
    </xf>
    <xf numFmtId="0" fontId="29" fillId="0" borderId="47" xfId="7" applyFont="1" applyFill="1" applyBorder="1" applyAlignment="1">
      <alignment horizontal="center"/>
    </xf>
    <xf numFmtId="175" fontId="29" fillId="0" borderId="47" xfId="26" applyNumberFormat="1" applyFont="1" applyFill="1" applyBorder="1" applyAlignment="1">
      <alignment horizontal="right" vertical="distributed"/>
    </xf>
    <xf numFmtId="166" fontId="6" fillId="0" borderId="0" xfId="34" applyNumberFormat="1" applyFont="1" applyFill="1" applyAlignment="1">
      <alignment horizontal="right"/>
    </xf>
    <xf numFmtId="167" fontId="30" fillId="0" borderId="0" xfId="34" applyNumberFormat="1" applyFont="1" applyFill="1" applyAlignment="1">
      <alignment horizontal="right"/>
    </xf>
    <xf numFmtId="166" fontId="32" fillId="0" borderId="0" xfId="34" applyNumberFormat="1" applyFont="1" applyFill="1" applyAlignment="1">
      <alignment horizontal="right"/>
    </xf>
    <xf numFmtId="167" fontId="30" fillId="0" borderId="0" xfId="34" applyNumberFormat="1" applyFont="1" applyFill="1" applyAlignment="1">
      <alignment horizontal="left"/>
    </xf>
    <xf numFmtId="167" fontId="30" fillId="0" borderId="0" xfId="34" applyNumberFormat="1" applyFont="1" applyFill="1" applyAlignment="1">
      <alignment horizontal="center" vertical="center"/>
    </xf>
    <xf numFmtId="168" fontId="30" fillId="0" borderId="0" xfId="34" applyNumberFormat="1" applyFont="1" applyFill="1" applyAlignment="1">
      <alignment horizontal="right"/>
    </xf>
    <xf numFmtId="167" fontId="30" fillId="0" borderId="0" xfId="34" applyNumberFormat="1" applyFont="1" applyFill="1"/>
    <xf numFmtId="166" fontId="29" fillId="0" borderId="0" xfId="34" applyNumberFormat="1" applyFont="1" applyFill="1" applyAlignment="1">
      <alignment horizontal="right"/>
    </xf>
    <xf numFmtId="166" fontId="13" fillId="0" borderId="1" xfId="34" applyNumberFormat="1" applyFont="1" applyFill="1" applyBorder="1" applyAlignment="1">
      <alignment horizontal="center" vertical="center"/>
    </xf>
    <xf numFmtId="167" fontId="19" fillId="0" borderId="1" xfId="34" applyNumberFormat="1" applyFont="1" applyFill="1" applyBorder="1" applyAlignment="1">
      <alignment horizontal="right" vertical="center" wrapText="1"/>
    </xf>
    <xf numFmtId="166" fontId="19" fillId="0" borderId="1" xfId="34" applyNumberFormat="1" applyFont="1" applyFill="1" applyBorder="1" applyAlignment="1">
      <alignment horizontal="right" vertical="center" wrapText="1"/>
    </xf>
    <xf numFmtId="167" fontId="25" fillId="0" borderId="1" xfId="34" applyNumberFormat="1" applyFont="1" applyFill="1" applyBorder="1" applyAlignment="1">
      <alignment horizontal="right" vertical="center" wrapText="1"/>
    </xf>
    <xf numFmtId="166" fontId="25" fillId="0" borderId="1" xfId="34" applyNumberFormat="1" applyFont="1" applyFill="1" applyBorder="1" applyAlignment="1">
      <alignment horizontal="right" vertical="center" wrapText="1"/>
    </xf>
    <xf numFmtId="166" fontId="10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7" fontId="9" fillId="0" borderId="1" xfId="34" applyNumberFormat="1" applyFont="1" applyFill="1" applyBorder="1" applyAlignment="1">
      <alignment horizontal="right" vertical="center" wrapText="1"/>
    </xf>
    <xf numFmtId="167" fontId="8" fillId="0" borderId="1" xfId="34" applyNumberFormat="1" applyFont="1" applyFill="1" applyBorder="1" applyAlignment="1">
      <alignment horizontal="right" vertical="center" wrapText="1"/>
    </xf>
    <xf numFmtId="166" fontId="9" fillId="0" borderId="1" xfId="34" applyNumberFormat="1" applyFont="1" applyFill="1" applyBorder="1" applyAlignment="1">
      <alignment horizontal="right" vertical="center" wrapText="1"/>
    </xf>
    <xf numFmtId="166" fontId="8" fillId="0" borderId="1" xfId="34" applyNumberFormat="1" applyFont="1" applyFill="1" applyBorder="1" applyAlignment="1">
      <alignment horizontal="right" vertical="center" wrapText="1"/>
    </xf>
    <xf numFmtId="167" fontId="13" fillId="0" borderId="1" xfId="34" applyNumberFormat="1" applyFont="1" applyFill="1" applyBorder="1" applyAlignment="1">
      <alignment horizontal="right" vertical="center" wrapText="1"/>
    </xf>
    <xf numFmtId="166" fontId="13" fillId="0" borderId="1" xfId="34" applyNumberFormat="1" applyFont="1" applyFill="1" applyBorder="1" applyAlignment="1">
      <alignment horizontal="right" vertical="center" wrapText="1"/>
    </xf>
    <xf numFmtId="165" fontId="8" fillId="0" borderId="1" xfId="34" applyFont="1" applyFill="1" applyBorder="1" applyAlignment="1">
      <alignment horizontal="right" vertical="center" wrapText="1"/>
    </xf>
    <xf numFmtId="166" fontId="24" fillId="0" borderId="1" xfId="34" applyNumberFormat="1" applyFont="1" applyFill="1" applyBorder="1" applyAlignment="1">
      <alignment horizontal="right" vertical="center" wrapText="1"/>
    </xf>
    <xf numFmtId="167" fontId="24" fillId="0" borderId="1" xfId="34" applyNumberFormat="1" applyFont="1" applyFill="1" applyBorder="1" applyAlignment="1">
      <alignment horizontal="right" vertical="center" wrapText="1"/>
    </xf>
    <xf numFmtId="166" fontId="8" fillId="0" borderId="7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6" fontId="27" fillId="0" borderId="1" xfId="34" applyNumberFormat="1" applyFont="1" applyFill="1" applyBorder="1" applyAlignment="1">
      <alignment horizontal="right" vertical="center" wrapText="1"/>
    </xf>
    <xf numFmtId="168" fontId="13" fillId="0" borderId="1" xfId="34" applyNumberFormat="1" applyFont="1" applyFill="1" applyBorder="1" applyAlignment="1">
      <alignment horizontal="right" vertical="center" wrapText="1"/>
    </xf>
    <xf numFmtId="165" fontId="24" fillId="0" borderId="1" xfId="34" applyFont="1" applyFill="1" applyBorder="1" applyAlignment="1">
      <alignment horizontal="right" vertical="center" wrapText="1"/>
    </xf>
    <xf numFmtId="167" fontId="8" fillId="0" borderId="15" xfId="34" applyNumberFormat="1" applyFont="1" applyFill="1" applyBorder="1" applyAlignment="1">
      <alignment horizontal="right" vertical="center" wrapText="1"/>
    </xf>
    <xf numFmtId="165" fontId="13" fillId="0" borderId="1" xfId="34" applyFont="1" applyFill="1" applyBorder="1" applyAlignment="1">
      <alignment horizontal="right" vertical="center" wrapText="1"/>
    </xf>
    <xf numFmtId="167" fontId="13" fillId="0" borderId="1" xfId="34" applyNumberFormat="1" applyFont="1" applyFill="1" applyBorder="1" applyAlignment="1">
      <alignment vertical="center" wrapText="1"/>
    </xf>
    <xf numFmtId="166" fontId="8" fillId="0" borderId="1" xfId="34" applyNumberFormat="1" applyFont="1" applyFill="1" applyBorder="1" applyAlignment="1">
      <alignment vertical="center" wrapText="1"/>
    </xf>
    <xf numFmtId="165" fontId="9" fillId="0" borderId="1" xfId="34" applyFont="1" applyFill="1" applyBorder="1" applyAlignment="1">
      <alignment horizontal="right" vertical="center" wrapText="1"/>
    </xf>
    <xf numFmtId="167" fontId="8" fillId="0" borderId="7" xfId="34" applyNumberFormat="1" applyFont="1" applyFill="1" applyBorder="1" applyAlignment="1">
      <alignment vertical="center" wrapText="1"/>
    </xf>
    <xf numFmtId="166" fontId="13" fillId="0" borderId="26" xfId="34" applyNumberFormat="1" applyFont="1" applyFill="1" applyBorder="1" applyAlignment="1">
      <alignment horizontal="center" vertical="center"/>
    </xf>
    <xf numFmtId="166" fontId="6" fillId="0" borderId="27" xfId="34" applyNumberFormat="1" applyFont="1" applyFill="1" applyBorder="1" applyAlignment="1">
      <alignment horizontal="right"/>
    </xf>
    <xf numFmtId="168" fontId="13" fillId="0" borderId="7" xfId="34" applyNumberFormat="1" applyFont="1" applyFill="1" applyBorder="1" applyAlignment="1">
      <alignment horizontal="right" vertical="center"/>
    </xf>
    <xf numFmtId="166" fontId="6" fillId="0" borderId="0" xfId="34" applyNumberFormat="1" applyFont="1" applyFill="1" applyBorder="1" applyAlignment="1">
      <alignment horizontal="right"/>
    </xf>
    <xf numFmtId="167" fontId="13" fillId="0" borderId="7" xfId="34" applyNumberFormat="1" applyFont="1" applyFill="1" applyBorder="1" applyAlignment="1">
      <alignment horizontal="center" vertical="center"/>
    </xf>
    <xf numFmtId="167" fontId="13" fillId="0" borderId="7" xfId="34" applyNumberFormat="1" applyFont="1" applyFill="1" applyBorder="1" applyAlignment="1">
      <alignment vertical="center" wrapText="1"/>
    </xf>
    <xf numFmtId="170" fontId="6" fillId="0" borderId="0" xfId="36" applyFont="1" applyFill="1" applyBorder="1"/>
    <xf numFmtId="167" fontId="8" fillId="0" borderId="7" xfId="34" applyNumberFormat="1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horizontal="right" vertical="center" wrapText="1"/>
    </xf>
    <xf numFmtId="0" fontId="22" fillId="0" borderId="0" xfId="35" applyFont="1" applyFill="1" applyBorder="1" applyAlignment="1"/>
    <xf numFmtId="166" fontId="8" fillId="0" borderId="9" xfId="34" applyNumberFormat="1" applyFont="1" applyFill="1" applyBorder="1" applyAlignment="1">
      <alignment horizontal="right" vertical="center" wrapText="1"/>
    </xf>
    <xf numFmtId="166" fontId="13" fillId="0" borderId="7" xfId="34" applyNumberFormat="1" applyFont="1" applyFill="1" applyBorder="1" applyAlignment="1">
      <alignment horizontal="right" vertical="center" wrapText="1"/>
    </xf>
    <xf numFmtId="0" fontId="17" fillId="0" borderId="1" xfId="37" applyFont="1" applyFill="1" applyBorder="1" applyAlignment="1">
      <alignment horizontal="left" vertical="center" wrapText="1"/>
    </xf>
    <xf numFmtId="0" fontId="17" fillId="0" borderId="7" xfId="37" applyFont="1" applyFill="1" applyBorder="1" applyAlignment="1">
      <alignment horizontal="left" vertical="center" wrapText="1"/>
    </xf>
    <xf numFmtId="0" fontId="9" fillId="0" borderId="1" xfId="37" applyFont="1" applyFill="1" applyBorder="1" applyAlignment="1">
      <alignment horizontal="left" vertical="top" wrapText="1"/>
    </xf>
    <xf numFmtId="166" fontId="10" fillId="0" borderId="7" xfId="34" applyNumberFormat="1" applyFont="1" applyFill="1" applyBorder="1" applyAlignment="1">
      <alignment horizontal="right" vertical="center" wrapText="1"/>
    </xf>
    <xf numFmtId="166" fontId="9" fillId="0" borderId="7" xfId="34" applyNumberFormat="1" applyFont="1" applyFill="1" applyBorder="1" applyAlignment="1">
      <alignment horizontal="right" vertical="center" wrapText="1"/>
    </xf>
    <xf numFmtId="167" fontId="9" fillId="0" borderId="7" xfId="34" applyNumberFormat="1" applyFont="1" applyFill="1" applyBorder="1" applyAlignment="1">
      <alignment horizontal="right" vertical="center" wrapText="1"/>
    </xf>
    <xf numFmtId="0" fontId="9" fillId="0" borderId="7" xfId="37" applyFont="1" applyFill="1" applyBorder="1" applyAlignment="1">
      <alignment horizontal="left" vertical="center" wrapText="1"/>
    </xf>
    <xf numFmtId="0" fontId="17" fillId="0" borderId="8" xfId="37" applyFont="1" applyFill="1" applyBorder="1" applyAlignment="1">
      <alignment horizontal="left" vertical="center" wrapText="1"/>
    </xf>
    <xf numFmtId="167" fontId="9" fillId="0" borderId="1" xfId="37" applyNumberFormat="1" applyFont="1" applyFill="1" applyBorder="1" applyAlignment="1">
      <alignment horizontal="left" vertical="center" wrapText="1"/>
    </xf>
    <xf numFmtId="167" fontId="9" fillId="0" borderId="7" xfId="37" applyNumberFormat="1" applyFont="1" applyFill="1" applyBorder="1" applyAlignment="1">
      <alignment horizontal="left" vertical="center" wrapText="1"/>
    </xf>
    <xf numFmtId="0" fontId="17" fillId="0" borderId="0" xfId="37" applyFont="1" applyFill="1" applyBorder="1" applyAlignment="1">
      <alignment horizontal="left" vertical="center" wrapText="1"/>
    </xf>
    <xf numFmtId="167" fontId="8" fillId="0" borderId="2" xfId="34" applyNumberFormat="1" applyFont="1" applyFill="1" applyBorder="1" applyAlignment="1">
      <alignment horizontal="right" vertical="center" wrapText="1"/>
    </xf>
    <xf numFmtId="165" fontId="13" fillId="0" borderId="2" xfId="34" applyFont="1" applyFill="1" applyBorder="1" applyAlignment="1">
      <alignment horizontal="right" vertical="center" wrapText="1"/>
    </xf>
    <xf numFmtId="167" fontId="8" fillId="0" borderId="18" xfId="34" applyNumberFormat="1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vertical="top" wrapText="1"/>
    </xf>
    <xf numFmtId="167" fontId="13" fillId="0" borderId="7" xfId="34" applyNumberFormat="1" applyFont="1" applyFill="1" applyBorder="1" applyAlignment="1">
      <alignment horizontal="right" vertical="center" wrapText="1"/>
    </xf>
    <xf numFmtId="0" fontId="9" fillId="0" borderId="7" xfId="37" applyFont="1" applyFill="1" applyBorder="1" applyAlignment="1">
      <alignment vertical="top" wrapText="1"/>
    </xf>
    <xf numFmtId="0" fontId="67" fillId="0" borderId="1" xfId="37" applyFont="1" applyFill="1" applyBorder="1" applyAlignment="1">
      <alignment horizontal="left" vertical="center" wrapText="1"/>
    </xf>
    <xf numFmtId="0" fontId="9" fillId="0" borderId="1" xfId="37" applyFont="1" applyFill="1" applyBorder="1" applyAlignment="1">
      <alignment horizontal="left" vertical="center" wrapText="1"/>
    </xf>
    <xf numFmtId="168" fontId="13" fillId="0" borderId="1" xfId="34" applyNumberFormat="1" applyFont="1" applyFill="1" applyBorder="1" applyAlignment="1" applyProtection="1">
      <alignment horizontal="right" vertical="center" wrapText="1"/>
      <protection locked="0"/>
    </xf>
    <xf numFmtId="168" fontId="13" fillId="0" borderId="7" xfId="34" applyNumberFormat="1" applyFont="1" applyFill="1" applyBorder="1" applyAlignment="1" applyProtection="1">
      <alignment horizontal="right" vertical="center" wrapText="1"/>
      <protection locked="0"/>
    </xf>
    <xf numFmtId="168" fontId="10" fillId="0" borderId="1" xfId="34" applyNumberFormat="1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horizontal="right" vertical="center" wrapText="1"/>
    </xf>
    <xf numFmtId="168" fontId="9" fillId="0" borderId="1" xfId="34" applyNumberFormat="1" applyFont="1" applyFill="1" applyBorder="1" applyAlignment="1">
      <alignment horizontal="right" vertical="center" wrapText="1"/>
    </xf>
    <xf numFmtId="168" fontId="9" fillId="0" borderId="7" xfId="34" applyNumberFormat="1" applyFont="1" applyFill="1" applyBorder="1" applyAlignment="1">
      <alignment horizontal="right" vertical="center" wrapText="1"/>
    </xf>
    <xf numFmtId="172" fontId="48" fillId="0" borderId="1" xfId="11" applyNumberFormat="1" applyFont="1" applyFill="1" applyBorder="1" applyAlignment="1" applyProtection="1">
      <alignment horizontal="left" vertical="center" wrapText="1"/>
    </xf>
    <xf numFmtId="167" fontId="9" fillId="0" borderId="1" xfId="34" applyNumberFormat="1" applyFont="1" applyFill="1" applyBorder="1" applyAlignment="1">
      <alignment vertical="center"/>
    </xf>
    <xf numFmtId="0" fontId="9" fillId="0" borderId="1" xfId="37" applyNumberFormat="1" applyFont="1" applyFill="1" applyBorder="1" applyAlignment="1" applyProtection="1">
      <alignment horizontal="left" vertical="center" wrapText="1"/>
    </xf>
    <xf numFmtId="169" fontId="9" fillId="0" borderId="1" xfId="37" applyNumberFormat="1" applyFont="1" applyFill="1" applyBorder="1" applyAlignment="1" applyProtection="1">
      <alignment horizontal="left" vertical="center" wrapText="1"/>
    </xf>
    <xf numFmtId="166" fontId="9" fillId="0" borderId="1" xfId="34" applyNumberFormat="1" applyFont="1" applyFill="1" applyBorder="1" applyAlignment="1">
      <alignment horizontal="left" vertical="center" wrapText="1"/>
    </xf>
    <xf numFmtId="166" fontId="8" fillId="0" borderId="0" xfId="34" applyNumberFormat="1" applyFont="1" applyFill="1" applyBorder="1" applyAlignment="1">
      <alignment horizontal="right" vertical="center" wrapText="1"/>
    </xf>
    <xf numFmtId="168" fontId="13" fillId="0" borderId="7" xfId="34" applyNumberFormat="1" applyFont="1" applyFill="1" applyBorder="1" applyAlignment="1">
      <alignment horizontal="right" vertical="center" wrapText="1"/>
    </xf>
    <xf numFmtId="167" fontId="8" fillId="0" borderId="0" xfId="34" applyNumberFormat="1" applyFont="1" applyFill="1" applyBorder="1" applyAlignment="1">
      <alignment horizontal="right" vertical="center" wrapText="1"/>
    </xf>
    <xf numFmtId="166" fontId="8" fillId="0" borderId="14" xfId="34" applyNumberFormat="1" applyFont="1" applyFill="1" applyBorder="1" applyAlignment="1">
      <alignment horizontal="right" vertical="center" wrapText="1"/>
    </xf>
    <xf numFmtId="49" fontId="8" fillId="0" borderId="1" xfId="34" applyNumberFormat="1" applyFont="1" applyFill="1" applyBorder="1" applyAlignment="1">
      <alignment horizontal="right" vertical="center" wrapText="1"/>
    </xf>
    <xf numFmtId="0" fontId="6" fillId="0" borderId="15" xfId="3" applyFont="1" applyFill="1" applyBorder="1" applyAlignment="1">
      <alignment horizontal="left" vertical="center" wrapText="1"/>
    </xf>
    <xf numFmtId="166" fontId="8" fillId="0" borderId="10" xfId="34" applyNumberFormat="1" applyFont="1" applyFill="1" applyBorder="1" applyAlignment="1">
      <alignment horizontal="right" vertical="center" wrapText="1"/>
    </xf>
    <xf numFmtId="166" fontId="8" fillId="0" borderId="18" xfId="34" applyNumberFormat="1" applyFont="1" applyFill="1" applyBorder="1" applyAlignment="1">
      <alignment horizontal="right" vertical="center" wrapText="1"/>
    </xf>
    <xf numFmtId="172" fontId="6" fillId="0" borderId="4" xfId="5" applyNumberFormat="1" applyFont="1" applyFill="1" applyBorder="1" applyAlignment="1">
      <alignment horizontal="left" vertical="center" wrapText="1" indent="2"/>
    </xf>
    <xf numFmtId="49" fontId="8" fillId="0" borderId="1" xfId="34" applyNumberFormat="1" applyFont="1" applyFill="1" applyBorder="1" applyAlignment="1">
      <alignment vertical="center" wrapText="1"/>
    </xf>
    <xf numFmtId="167" fontId="8" fillId="0" borderId="1" xfId="34" applyNumberFormat="1" applyFont="1" applyFill="1" applyBorder="1" applyAlignment="1">
      <alignment vertical="center" wrapText="1"/>
    </xf>
    <xf numFmtId="49" fontId="8" fillId="0" borderId="18" xfId="34" applyNumberFormat="1" applyFont="1" applyFill="1" applyBorder="1" applyAlignment="1">
      <alignment vertical="center" wrapText="1"/>
    </xf>
    <xf numFmtId="167" fontId="8" fillId="0" borderId="18" xfId="34" applyNumberFormat="1" applyFont="1" applyFill="1" applyBorder="1" applyAlignment="1">
      <alignment vertical="center" wrapText="1"/>
    </xf>
    <xf numFmtId="49" fontId="10" fillId="0" borderId="1" xfId="34" applyNumberFormat="1" applyFont="1" applyFill="1" applyBorder="1" applyAlignment="1">
      <alignment horizontal="right"/>
    </xf>
    <xf numFmtId="166" fontId="10" fillId="0" borderId="7" xfId="34" applyNumberFormat="1" applyFont="1" applyFill="1" applyBorder="1" applyAlignment="1">
      <alignment horizontal="right"/>
    </xf>
    <xf numFmtId="166" fontId="10" fillId="0" borderId="1" xfId="34" applyNumberFormat="1" applyFont="1" applyFill="1" applyBorder="1" applyAlignment="1">
      <alignment horizontal="right"/>
    </xf>
    <xf numFmtId="0" fontId="9" fillId="0" borderId="1" xfId="0" applyFont="1" applyFill="1" applyBorder="1" applyAlignment="1">
      <alignment vertical="justify" wrapText="1"/>
    </xf>
    <xf numFmtId="49" fontId="9" fillId="0" borderId="1" xfId="34" applyNumberFormat="1" applyFont="1" applyFill="1" applyBorder="1" applyAlignment="1">
      <alignment horizontal="right"/>
    </xf>
    <xf numFmtId="166" fontId="9" fillId="0" borderId="9" xfId="34" applyNumberFormat="1" applyFont="1" applyFill="1" applyBorder="1" applyAlignment="1">
      <alignment horizontal="right"/>
    </xf>
    <xf numFmtId="166" fontId="9" fillId="0" borderId="7" xfId="34" applyNumberFormat="1" applyFont="1" applyFill="1" applyBorder="1" applyAlignment="1">
      <alignment horizontal="right"/>
    </xf>
    <xf numFmtId="166" fontId="9" fillId="0" borderId="1" xfId="34" applyNumberFormat="1" applyFont="1" applyFill="1" applyBorder="1" applyAlignment="1">
      <alignment horizontal="right"/>
    </xf>
    <xf numFmtId="0" fontId="9" fillId="0" borderId="2" xfId="3" applyFont="1" applyFill="1" applyBorder="1" applyAlignment="1">
      <alignment horizontal="left" vertical="justify" wrapText="1"/>
    </xf>
    <xf numFmtId="49" fontId="9" fillId="0" borderId="2" xfId="3" applyNumberFormat="1" applyFont="1" applyFill="1" applyBorder="1" applyAlignment="1" applyProtection="1">
      <alignment horizontal="center" vertical="center" wrapText="1"/>
    </xf>
    <xf numFmtId="49" fontId="8" fillId="0" borderId="2" xfId="34" applyNumberFormat="1" applyFont="1" applyFill="1" applyBorder="1" applyAlignment="1">
      <alignment horizontal="right" vertical="center" wrapText="1"/>
    </xf>
    <xf numFmtId="166" fontId="10" fillId="0" borderId="2" xfId="34" applyNumberFormat="1" applyFont="1" applyFill="1" applyBorder="1" applyAlignment="1">
      <alignment horizontal="right"/>
    </xf>
    <xf numFmtId="166" fontId="6" fillId="0" borderId="2" xfId="34" applyNumberFormat="1" applyFont="1" applyFill="1" applyBorder="1" applyAlignment="1">
      <alignment horizontal="right"/>
    </xf>
    <xf numFmtId="166" fontId="11" fillId="0" borderId="2" xfId="34" applyNumberFormat="1" applyFont="1" applyFill="1" applyBorder="1" applyAlignment="1">
      <alignment horizontal="right"/>
    </xf>
    <xf numFmtId="166" fontId="10" fillId="0" borderId="20" xfId="34" applyNumberFormat="1" applyFont="1" applyFill="1" applyBorder="1" applyAlignment="1">
      <alignment horizontal="right"/>
    </xf>
    <xf numFmtId="166" fontId="6" fillId="0" borderId="1" xfId="34" applyNumberFormat="1" applyFont="1" applyFill="1" applyBorder="1" applyAlignment="1">
      <alignment horizontal="right"/>
    </xf>
    <xf numFmtId="0" fontId="9" fillId="0" borderId="18" xfId="37" applyFont="1" applyFill="1" applyBorder="1" applyAlignment="1">
      <alignment horizontal="left" vertical="center" wrapText="1"/>
    </xf>
    <xf numFmtId="0" fontId="73" fillId="0" borderId="1" xfId="0" applyFont="1" applyFill="1" applyBorder="1" applyAlignment="1">
      <alignment horizontal="left" vertical="center" wrapText="1"/>
    </xf>
    <xf numFmtId="0" fontId="73" fillId="0" borderId="1" xfId="0" applyFont="1" applyFill="1" applyBorder="1" applyAlignment="1">
      <alignment vertical="center" wrapText="1"/>
    </xf>
    <xf numFmtId="166" fontId="8" fillId="0" borderId="4" xfId="34" applyNumberFormat="1" applyFont="1" applyFill="1" applyBorder="1" applyAlignment="1">
      <alignment horizontal="right" vertical="center" wrapText="1"/>
    </xf>
    <xf numFmtId="166" fontId="6" fillId="0" borderId="4" xfId="34" applyNumberFormat="1" applyFont="1" applyFill="1" applyBorder="1" applyAlignment="1">
      <alignment horizontal="right"/>
    </xf>
    <xf numFmtId="166" fontId="8" fillId="0" borderId="3" xfId="34" applyNumberFormat="1" applyFont="1" applyFill="1" applyBorder="1" applyAlignment="1">
      <alignment horizontal="right" vertical="center" wrapText="1"/>
    </xf>
    <xf numFmtId="166" fontId="48" fillId="0" borderId="0" xfId="24" applyNumberFormat="1" applyFont="1" applyFill="1" applyAlignment="1">
      <alignment horizontal="right"/>
    </xf>
    <xf numFmtId="0" fontId="47" fillId="0" borderId="33" xfId="5" applyFont="1" applyFill="1" applyBorder="1" applyAlignment="1">
      <alignment horizontal="center" vertical="center" wrapText="1"/>
    </xf>
    <xf numFmtId="172" fontId="47" fillId="0" borderId="32" xfId="5" applyNumberFormat="1" applyFont="1" applyFill="1" applyBorder="1" applyAlignment="1">
      <alignment horizontal="center" vertical="center" wrapText="1"/>
    </xf>
    <xf numFmtId="166" fontId="47" fillId="0" borderId="32" xfId="5" applyNumberFormat="1" applyFont="1" applyFill="1" applyBorder="1" applyAlignment="1">
      <alignment horizontal="center" vertical="center" wrapText="1"/>
    </xf>
    <xf numFmtId="49" fontId="47" fillId="0" borderId="32" xfId="5" applyNumberFormat="1" applyFont="1" applyFill="1" applyBorder="1" applyAlignment="1">
      <alignment horizontal="center" vertical="center" wrapText="1"/>
    </xf>
    <xf numFmtId="168" fontId="47" fillId="0" borderId="31" xfId="5" applyNumberFormat="1" applyFont="1" applyFill="1" applyBorder="1" applyAlignment="1">
      <alignment horizontal="center" vertical="center" wrapText="1"/>
    </xf>
    <xf numFmtId="0" fontId="9" fillId="0" borderId="35" xfId="5" applyFont="1" applyFill="1" applyBorder="1" applyAlignment="1">
      <alignment horizontal="center" vertical="center"/>
    </xf>
    <xf numFmtId="172" fontId="10" fillId="0" borderId="36" xfId="5" applyNumberFormat="1" applyFont="1" applyFill="1" applyBorder="1" applyAlignment="1">
      <alignment horizontal="left" vertical="center" wrapText="1"/>
    </xf>
    <xf numFmtId="166" fontId="10" fillId="0" borderId="36" xfId="5" applyNumberFormat="1" applyFont="1" applyFill="1" applyBorder="1" applyAlignment="1">
      <alignment horizontal="left" vertical="center" wrapText="1"/>
    </xf>
    <xf numFmtId="49" fontId="10" fillId="0" borderId="36" xfId="5" applyNumberFormat="1" applyFont="1" applyFill="1" applyBorder="1" applyAlignment="1">
      <alignment horizontal="center" vertical="center" wrapText="1"/>
    </xf>
    <xf numFmtId="168" fontId="74" fillId="0" borderId="37" xfId="5" applyNumberFormat="1" applyFont="1" applyFill="1" applyBorder="1" applyAlignment="1">
      <alignment horizontal="right" vertical="center" wrapText="1"/>
    </xf>
    <xf numFmtId="0" fontId="47" fillId="0" borderId="33" xfId="5" applyFont="1" applyFill="1" applyBorder="1" applyAlignment="1">
      <alignment horizontal="center" vertical="center"/>
    </xf>
    <xf numFmtId="0" fontId="47" fillId="0" borderId="32" xfId="8" applyFont="1" applyFill="1" applyBorder="1" applyAlignment="1">
      <alignment horizontal="left" vertical="center" wrapText="1"/>
    </xf>
    <xf numFmtId="168" fontId="74" fillId="0" borderId="31" xfId="5" applyNumberFormat="1" applyFont="1" applyFill="1" applyBorder="1" applyAlignment="1">
      <alignment horizontal="right" vertical="center" wrapText="1"/>
    </xf>
    <xf numFmtId="172" fontId="74" fillId="0" borderId="32" xfId="5" applyNumberFormat="1" applyFont="1" applyFill="1" applyBorder="1" applyAlignment="1">
      <alignment horizontal="left" vertical="center" wrapText="1"/>
    </xf>
    <xf numFmtId="0" fontId="47" fillId="0" borderId="21" xfId="5" applyFont="1" applyFill="1" applyBorder="1" applyAlignment="1">
      <alignment horizontal="center" vertical="center"/>
    </xf>
    <xf numFmtId="172" fontId="74" fillId="0" borderId="2" xfId="5" applyNumberFormat="1" applyFont="1" applyFill="1" applyBorder="1" applyAlignment="1">
      <alignment horizontal="left" vertical="center" wrapText="1"/>
    </xf>
    <xf numFmtId="166" fontId="47" fillId="0" borderId="2" xfId="5" applyNumberFormat="1" applyFont="1" applyFill="1" applyBorder="1" applyAlignment="1">
      <alignment horizontal="left" vertical="center" wrapText="1"/>
    </xf>
    <xf numFmtId="49" fontId="47" fillId="0" borderId="2" xfId="5" applyNumberFormat="1" applyFont="1" applyFill="1" applyBorder="1" applyAlignment="1">
      <alignment horizontal="center" vertical="center" wrapText="1"/>
    </xf>
    <xf numFmtId="168" fontId="74" fillId="0" borderId="20" xfId="5" applyNumberFormat="1" applyFont="1" applyFill="1" applyBorder="1" applyAlignment="1">
      <alignment horizontal="right" vertical="center" wrapText="1"/>
    </xf>
    <xf numFmtId="166" fontId="47" fillId="0" borderId="1" xfId="5" applyNumberFormat="1" applyFont="1" applyFill="1" applyBorder="1" applyAlignment="1">
      <alignment horizontal="left" vertical="center" wrapText="1"/>
    </xf>
    <xf numFmtId="168" fontId="74" fillId="0" borderId="9" xfId="5" applyNumberFormat="1" applyFont="1" applyFill="1" applyBorder="1" applyAlignment="1">
      <alignment horizontal="right" vertical="center"/>
    </xf>
    <xf numFmtId="0" fontId="48" fillId="0" borderId="8" xfId="5" applyFont="1" applyFill="1" applyBorder="1" applyAlignment="1">
      <alignment horizontal="center" vertical="center"/>
    </xf>
    <xf numFmtId="166" fontId="48" fillId="0" borderId="1" xfId="5" applyNumberFormat="1" applyFont="1" applyFill="1" applyBorder="1" applyAlignment="1">
      <alignment horizontal="left" vertical="center" wrapText="1"/>
    </xf>
    <xf numFmtId="168" fontId="15" fillId="0" borderId="9" xfId="5" applyNumberFormat="1" applyFont="1" applyFill="1" applyBorder="1" applyAlignment="1">
      <alignment horizontal="right" vertical="center"/>
    </xf>
    <xf numFmtId="172" fontId="48" fillId="0" borderId="1" xfId="5" applyNumberFormat="1" applyFont="1" applyFill="1" applyBorder="1" applyAlignment="1">
      <alignment horizontal="left" vertical="center" wrapText="1" indent="2"/>
    </xf>
    <xf numFmtId="166" fontId="48" fillId="0" borderId="1" xfId="5" applyNumberFormat="1" applyFont="1" applyFill="1" applyBorder="1" applyAlignment="1">
      <alignment horizontal="left" vertical="center" wrapText="1" indent="2"/>
    </xf>
    <xf numFmtId="172" fontId="74" fillId="0" borderId="1" xfId="5" applyNumberFormat="1" applyFont="1" applyFill="1" applyBorder="1" applyAlignment="1">
      <alignment horizontal="left" vertical="center" wrapText="1"/>
    </xf>
    <xf numFmtId="172" fontId="48" fillId="0" borderId="1" xfId="5" applyNumberFormat="1" applyFont="1" applyFill="1" applyBorder="1" applyAlignment="1">
      <alignment horizontal="left" vertical="top" wrapText="1" indent="2"/>
    </xf>
    <xf numFmtId="167" fontId="15" fillId="0" borderId="9" xfId="34" applyNumberFormat="1" applyFont="1" applyFill="1" applyBorder="1" applyAlignment="1">
      <alignment horizontal="right" vertical="center" wrapText="1"/>
    </xf>
    <xf numFmtId="168" fontId="37" fillId="0" borderId="14" xfId="5" applyNumberFormat="1" applyFont="1" applyFill="1" applyBorder="1" applyAlignment="1">
      <alignment horizontal="right" vertical="center"/>
    </xf>
    <xf numFmtId="166" fontId="48" fillId="0" borderId="1" xfId="11" applyNumberFormat="1" applyFont="1" applyFill="1" applyBorder="1" applyAlignment="1" applyProtection="1">
      <alignment horizontal="left" vertical="center" wrapText="1"/>
    </xf>
    <xf numFmtId="166" fontId="47" fillId="0" borderId="1" xfId="11" applyNumberFormat="1" applyFont="1" applyFill="1" applyBorder="1" applyAlignment="1" applyProtection="1">
      <alignment horizontal="left" vertical="center" wrapText="1"/>
    </xf>
    <xf numFmtId="0" fontId="47" fillId="0" borderId="24" xfId="5" applyFont="1" applyFill="1" applyBorder="1" applyAlignment="1">
      <alignment horizontal="center" vertical="center"/>
    </xf>
    <xf numFmtId="172" fontId="48" fillId="0" borderId="23" xfId="5" applyNumberFormat="1" applyFont="1" applyFill="1" applyBorder="1" applyAlignment="1">
      <alignment horizontal="left" vertical="center" wrapText="1" indent="2"/>
    </xf>
    <xf numFmtId="166" fontId="48" fillId="0" borderId="23" xfId="5" applyNumberFormat="1" applyFont="1" applyFill="1" applyBorder="1" applyAlignment="1">
      <alignment horizontal="left" vertical="center" wrapText="1" indent="2"/>
    </xf>
    <xf numFmtId="49" fontId="48" fillId="0" borderId="23" xfId="5" applyNumberFormat="1" applyFont="1" applyFill="1" applyBorder="1" applyAlignment="1">
      <alignment horizontal="center" vertical="center" wrapText="1"/>
    </xf>
    <xf numFmtId="168" fontId="15" fillId="0" borderId="34" xfId="5" applyNumberFormat="1" applyFont="1" applyFill="1" applyBorder="1" applyAlignment="1">
      <alignment horizontal="right" vertical="center"/>
    </xf>
    <xf numFmtId="0" fontId="48" fillId="0" borderId="21" xfId="5" applyFont="1" applyFill="1" applyBorder="1" applyAlignment="1">
      <alignment horizontal="center" vertical="center"/>
    </xf>
    <xf numFmtId="0" fontId="74" fillId="0" borderId="0" xfId="9" applyFont="1" applyFill="1" applyBorder="1" applyAlignment="1">
      <alignment wrapText="1"/>
    </xf>
    <xf numFmtId="0" fontId="48" fillId="0" borderId="7" xfId="9" applyFont="1" applyFill="1" applyBorder="1" applyAlignment="1">
      <alignment horizontal="left" vertical="center" wrapText="1"/>
    </xf>
    <xf numFmtId="172" fontId="48" fillId="0" borderId="7" xfId="5" applyNumberFormat="1" applyFont="1" applyFill="1" applyBorder="1" applyAlignment="1">
      <alignment horizontal="left" vertical="center" wrapText="1" indent="2"/>
    </xf>
    <xf numFmtId="0" fontId="48" fillId="0" borderId="7" xfId="9" applyFont="1" applyFill="1" applyBorder="1" applyAlignment="1">
      <alignment wrapText="1"/>
    </xf>
    <xf numFmtId="168" fontId="15" fillId="0" borderId="9" xfId="5" applyNumberFormat="1" applyFont="1" applyFill="1" applyBorder="1" applyAlignment="1">
      <alignment horizontal="right" vertical="center" wrapText="1"/>
    </xf>
    <xf numFmtId="0" fontId="48" fillId="0" borderId="1" xfId="9" applyNumberFormat="1" applyFont="1" applyFill="1" applyBorder="1" applyAlignment="1" applyProtection="1">
      <alignment horizontal="left" vertical="center" wrapText="1"/>
    </xf>
    <xf numFmtId="169" fontId="48" fillId="0" borderId="1" xfId="10" applyNumberFormat="1" applyFont="1" applyFill="1" applyBorder="1" applyAlignment="1" applyProtection="1">
      <alignment horizontal="left" vertical="center" wrapText="1"/>
    </xf>
    <xf numFmtId="0" fontId="48" fillId="0" borderId="1" xfId="9" applyFont="1" applyFill="1" applyBorder="1" applyAlignment="1">
      <alignment horizontal="left" vertical="center" wrapText="1"/>
    </xf>
    <xf numFmtId="49" fontId="48" fillId="0" borderId="1" xfId="3" applyNumberFormat="1" applyFont="1" applyFill="1" applyBorder="1" applyAlignment="1">
      <alignment horizontal="center" vertical="center" wrapText="1"/>
    </xf>
    <xf numFmtId="0" fontId="48" fillId="0" borderId="7" xfId="3" applyFont="1" applyFill="1" applyBorder="1" applyAlignment="1">
      <alignment horizontal="left" vertical="center" wrapText="1"/>
    </xf>
    <xf numFmtId="172" fontId="74" fillId="0" borderId="7" xfId="5" applyNumberFormat="1" applyFont="1" applyFill="1" applyBorder="1" applyAlignment="1">
      <alignment vertical="center" wrapText="1"/>
    </xf>
    <xf numFmtId="166" fontId="47" fillId="0" borderId="1" xfId="5" applyNumberFormat="1" applyFont="1" applyFill="1" applyBorder="1" applyAlignment="1">
      <alignment horizontal="left" vertical="center" wrapText="1" indent="2"/>
    </xf>
    <xf numFmtId="168" fontId="74" fillId="0" borderId="9" xfId="5" applyNumberFormat="1" applyFont="1" applyFill="1" applyBorder="1" applyAlignment="1">
      <alignment horizontal="right" vertical="center" wrapText="1"/>
    </xf>
    <xf numFmtId="172" fontId="48" fillId="0" borderId="7" xfId="5" applyNumberFormat="1" applyFont="1" applyFill="1" applyBorder="1" applyAlignment="1">
      <alignment vertical="center" wrapText="1"/>
    </xf>
    <xf numFmtId="172" fontId="47" fillId="0" borderId="7" xfId="5" applyNumberFormat="1" applyFont="1" applyFill="1" applyBorder="1" applyAlignment="1">
      <alignment vertical="center" wrapText="1"/>
    </xf>
    <xf numFmtId="0" fontId="47" fillId="0" borderId="8" xfId="5" applyFont="1" applyFill="1" applyBorder="1" applyAlignment="1">
      <alignment vertical="center"/>
    </xf>
    <xf numFmtId="0" fontId="47" fillId="0" borderId="7" xfId="3" applyFont="1" applyFill="1" applyBorder="1" applyAlignment="1">
      <alignment horizontal="left" vertical="center" wrapText="1"/>
    </xf>
    <xf numFmtId="0" fontId="48" fillId="0" borderId="2" xfId="10" applyNumberFormat="1" applyFont="1" applyFill="1" applyBorder="1" applyAlignment="1" applyProtection="1">
      <alignment horizontal="left" vertical="center" wrapText="1"/>
    </xf>
    <xf numFmtId="172" fontId="74" fillId="0" borderId="1" xfId="5" applyNumberFormat="1" applyFont="1" applyFill="1" applyBorder="1" applyAlignment="1">
      <alignment horizontal="left" vertical="top" wrapText="1"/>
    </xf>
    <xf numFmtId="166" fontId="48" fillId="0" borderId="1" xfId="14" applyNumberFormat="1" applyFont="1" applyFill="1" applyBorder="1" applyAlignment="1">
      <alignment vertical="center" wrapText="1"/>
    </xf>
    <xf numFmtId="0" fontId="75" fillId="0" borderId="7" xfId="3" applyFont="1" applyFill="1" applyBorder="1" applyAlignment="1">
      <alignment horizontal="left" vertical="center" wrapText="1"/>
    </xf>
    <xf numFmtId="49" fontId="48" fillId="0" borderId="1" xfId="14" applyNumberFormat="1" applyFont="1" applyFill="1" applyBorder="1" applyAlignment="1">
      <alignment horizontal="center" vertical="center" wrapText="1"/>
    </xf>
    <xf numFmtId="0" fontId="48" fillId="0" borderId="7" xfId="10" applyFont="1" applyFill="1" applyBorder="1" applyAlignment="1">
      <alignment horizontal="left" vertical="center" wrapText="1"/>
    </xf>
    <xf numFmtId="172" fontId="48" fillId="0" borderId="1" xfId="9" applyNumberFormat="1" applyFont="1" applyFill="1" applyBorder="1" applyAlignment="1">
      <alignment vertical="center" wrapText="1"/>
    </xf>
    <xf numFmtId="0" fontId="74" fillId="0" borderId="7" xfId="9" applyFont="1" applyFill="1" applyBorder="1" applyAlignment="1">
      <alignment horizontal="left" vertical="center" wrapText="1"/>
    </xf>
    <xf numFmtId="49" fontId="47" fillId="0" borderId="1" xfId="14" applyNumberFormat="1" applyFont="1" applyFill="1" applyBorder="1" applyAlignment="1">
      <alignment horizontal="center" vertical="center" wrapText="1"/>
    </xf>
    <xf numFmtId="49" fontId="47" fillId="0" borderId="1" xfId="14" applyNumberFormat="1" applyFont="1" applyFill="1" applyBorder="1" applyAlignment="1">
      <alignment vertical="center" wrapText="1"/>
    </xf>
    <xf numFmtId="49" fontId="48" fillId="0" borderId="1" xfId="14" applyNumberFormat="1" applyFont="1" applyFill="1" applyBorder="1" applyAlignment="1">
      <alignment vertical="center" wrapText="1"/>
    </xf>
    <xf numFmtId="49" fontId="48" fillId="0" borderId="1" xfId="5" applyNumberFormat="1" applyFont="1" applyFill="1" applyBorder="1" applyAlignment="1">
      <alignment horizontal="left" vertical="center" wrapText="1"/>
    </xf>
    <xf numFmtId="172" fontId="74" fillId="0" borderId="1" xfId="12" applyNumberFormat="1" applyFont="1" applyFill="1" applyBorder="1" applyAlignment="1" applyProtection="1">
      <alignment horizontal="left" vertical="center" wrapText="1"/>
    </xf>
    <xf numFmtId="166" fontId="47" fillId="0" borderId="1" xfId="12" applyNumberFormat="1" applyFont="1" applyFill="1" applyBorder="1" applyAlignment="1" applyProtection="1">
      <alignment horizontal="left" vertical="center" wrapText="1"/>
    </xf>
    <xf numFmtId="49" fontId="47" fillId="0" borderId="1" xfId="12" applyNumberFormat="1" applyFont="1" applyFill="1" applyBorder="1" applyAlignment="1" applyProtection="1">
      <alignment horizontal="center" vertical="center" wrapText="1"/>
    </xf>
    <xf numFmtId="168" fontId="74" fillId="0" borderId="9" xfId="14" applyNumberFormat="1" applyFont="1" applyFill="1" applyBorder="1" applyAlignment="1">
      <alignment horizontal="right" vertical="center"/>
    </xf>
    <xf numFmtId="0" fontId="48" fillId="0" borderId="8" xfId="14" applyFont="1" applyFill="1" applyBorder="1" applyAlignment="1">
      <alignment horizontal="center" vertical="center"/>
    </xf>
    <xf numFmtId="172" fontId="47" fillId="0" borderId="1" xfId="9" applyNumberFormat="1" applyFont="1" applyFill="1" applyBorder="1" applyAlignment="1">
      <alignment vertical="center" wrapText="1"/>
    </xf>
    <xf numFmtId="49" fontId="68" fillId="0" borderId="1" xfId="3" applyNumberFormat="1" applyFont="1" applyFill="1" applyBorder="1" applyAlignment="1">
      <alignment horizontal="center" vertical="center" wrapText="1"/>
    </xf>
    <xf numFmtId="0" fontId="48" fillId="0" borderId="1" xfId="9" applyFont="1" applyFill="1" applyBorder="1" applyAlignment="1">
      <alignment horizontal="left" vertical="top" wrapText="1"/>
    </xf>
    <xf numFmtId="0" fontId="48" fillId="0" borderId="8" xfId="5" applyFont="1" applyFill="1" applyBorder="1" applyAlignment="1">
      <alignment vertical="center"/>
    </xf>
    <xf numFmtId="0" fontId="48" fillId="0" borderId="8" xfId="14" applyFont="1" applyFill="1" applyBorder="1" applyAlignment="1">
      <alignment vertical="center"/>
    </xf>
    <xf numFmtId="49" fontId="48" fillId="0" borderId="1" xfId="0" applyNumberFormat="1" applyFont="1" applyFill="1" applyBorder="1" applyAlignment="1">
      <alignment horizontal="center" vertical="center" wrapText="1"/>
    </xf>
    <xf numFmtId="173" fontId="48" fillId="0" borderId="1" xfId="5" applyNumberFormat="1" applyFont="1" applyFill="1" applyBorder="1" applyAlignment="1">
      <alignment horizontal="left" vertical="center" wrapText="1" indent="2"/>
    </xf>
    <xf numFmtId="168" fontId="73" fillId="0" borderId="64" xfId="0" applyNumberFormat="1" applyFont="1" applyFill="1" applyBorder="1" applyAlignment="1">
      <alignment horizontal="right" vertical="center" wrapText="1"/>
    </xf>
    <xf numFmtId="0" fontId="48" fillId="0" borderId="15" xfId="3" applyFont="1" applyFill="1" applyBorder="1" applyAlignment="1">
      <alignment vertical="top" wrapText="1"/>
    </xf>
    <xf numFmtId="0" fontId="48" fillId="0" borderId="18" xfId="3" applyFont="1" applyFill="1" applyBorder="1" applyAlignment="1">
      <alignment vertical="top" wrapText="1"/>
    </xf>
    <xf numFmtId="166" fontId="48" fillId="0" borderId="8" xfId="5" applyNumberFormat="1" applyFont="1" applyFill="1" applyBorder="1" applyAlignment="1">
      <alignment horizontal="left" vertical="center" wrapText="1"/>
    </xf>
    <xf numFmtId="0" fontId="48" fillId="0" borderId="7" xfId="9" applyFont="1" applyFill="1" applyBorder="1" applyAlignment="1">
      <alignment vertical="top" wrapText="1"/>
    </xf>
    <xf numFmtId="172" fontId="48" fillId="0" borderId="1" xfId="5" applyNumberFormat="1" applyFont="1" applyFill="1" applyBorder="1" applyAlignment="1">
      <alignment vertical="center" wrapText="1"/>
    </xf>
    <xf numFmtId="0" fontId="48" fillId="0" borderId="7" xfId="3" applyFont="1" applyFill="1" applyBorder="1" applyAlignment="1">
      <alignment vertical="top" wrapText="1"/>
    </xf>
    <xf numFmtId="0" fontId="47" fillId="0" borderId="7" xfId="3" applyFont="1" applyFill="1" applyBorder="1" applyAlignment="1">
      <alignment vertical="top" wrapText="1"/>
    </xf>
    <xf numFmtId="166" fontId="48" fillId="0" borderId="8" xfId="5" applyNumberFormat="1" applyFont="1" applyFill="1" applyBorder="1" applyAlignment="1">
      <alignment vertical="center" wrapText="1"/>
    </xf>
    <xf numFmtId="0" fontId="48" fillId="0" borderId="7" xfId="3" applyFont="1" applyFill="1" applyBorder="1" applyAlignment="1">
      <alignment horizontal="center" vertical="center" wrapText="1"/>
    </xf>
    <xf numFmtId="172" fontId="48" fillId="0" borderId="1" xfId="12" applyNumberFormat="1" applyFont="1" applyFill="1" applyBorder="1" applyAlignment="1" applyProtection="1">
      <alignment horizontal="left" vertical="center" wrapText="1"/>
    </xf>
    <xf numFmtId="49" fontId="48" fillId="0" borderId="1" xfId="12" applyNumberFormat="1" applyFont="1" applyFill="1" applyBorder="1" applyAlignment="1" applyProtection="1">
      <alignment horizontal="center" vertical="center" wrapText="1"/>
    </xf>
    <xf numFmtId="168" fontId="15" fillId="0" borderId="9" xfId="14" applyNumberFormat="1" applyFont="1" applyFill="1" applyBorder="1" applyAlignment="1">
      <alignment horizontal="right" vertical="center"/>
    </xf>
    <xf numFmtId="0" fontId="48" fillId="0" borderId="1" xfId="9" applyFont="1" applyFill="1" applyBorder="1" applyAlignment="1">
      <alignment horizontal="justify" vertical="top" wrapText="1"/>
    </xf>
    <xf numFmtId="0" fontId="74" fillId="0" borderId="1" xfId="8" applyFont="1" applyFill="1" applyBorder="1" applyAlignment="1">
      <alignment horizontal="left" vertical="center" wrapText="1"/>
    </xf>
    <xf numFmtId="0" fontId="74" fillId="0" borderId="7" xfId="3" applyFont="1" applyFill="1" applyBorder="1" applyAlignment="1">
      <alignment horizontal="left" vertical="center" wrapText="1"/>
    </xf>
    <xf numFmtId="172" fontId="15" fillId="0" borderId="1" xfId="5" applyNumberFormat="1" applyFont="1" applyFill="1" applyBorder="1" applyAlignment="1">
      <alignment horizontal="left" vertical="center" wrapText="1"/>
    </xf>
    <xf numFmtId="172" fontId="15" fillId="0" borderId="1" xfId="5" applyNumberFormat="1" applyFont="1" applyFill="1" applyBorder="1" applyAlignment="1">
      <alignment horizontal="left" vertical="center" wrapText="1" indent="2"/>
    </xf>
    <xf numFmtId="172" fontId="74" fillId="0" borderId="1" xfId="5" applyNumberFormat="1" applyFont="1" applyFill="1" applyBorder="1" applyAlignment="1">
      <alignment vertical="center" wrapText="1"/>
    </xf>
    <xf numFmtId="0" fontId="48" fillId="0" borderId="15" xfId="3" applyFont="1" applyFill="1" applyBorder="1" applyAlignment="1">
      <alignment horizontal="left" vertical="center" wrapText="1"/>
    </xf>
    <xf numFmtId="166" fontId="48" fillId="0" borderId="23" xfId="5" applyNumberFormat="1" applyFont="1" applyFill="1" applyBorder="1" applyAlignment="1">
      <alignment horizontal="left" vertical="center" wrapText="1"/>
    </xf>
    <xf numFmtId="168" fontId="15" fillId="0" borderId="34" xfId="5" applyNumberFormat="1" applyFont="1" applyFill="1" applyBorder="1" applyAlignment="1">
      <alignment horizontal="right" vertical="center" wrapText="1"/>
    </xf>
    <xf numFmtId="172" fontId="48" fillId="0" borderId="4" xfId="5" applyNumberFormat="1" applyFont="1" applyFill="1" applyBorder="1" applyAlignment="1">
      <alignment horizontal="left" vertical="center" wrapText="1" indent="2"/>
    </xf>
    <xf numFmtId="166" fontId="48" fillId="0" borderId="4" xfId="5" applyNumberFormat="1" applyFont="1" applyFill="1" applyBorder="1" applyAlignment="1">
      <alignment horizontal="left" vertical="center" wrapText="1" indent="2"/>
    </xf>
    <xf numFmtId="49" fontId="48" fillId="0" borderId="4" xfId="5" applyNumberFormat="1" applyFont="1" applyFill="1" applyBorder="1" applyAlignment="1">
      <alignment horizontal="center" vertical="center" wrapText="1"/>
    </xf>
    <xf numFmtId="168" fontId="15" fillId="0" borderId="3" xfId="5" applyNumberFormat="1" applyFont="1" applyFill="1" applyBorder="1" applyAlignment="1">
      <alignment horizontal="right" vertical="center" wrapText="1"/>
    </xf>
    <xf numFmtId="168" fontId="76" fillId="0" borderId="2" xfId="5" applyNumberFormat="1" applyFont="1" applyFill="1" applyBorder="1" applyAlignment="1">
      <alignment horizontal="right" vertical="center" wrapText="1"/>
    </xf>
    <xf numFmtId="168" fontId="55" fillId="0" borderId="1" xfId="5" applyNumberFormat="1" applyFont="1" applyFill="1" applyBorder="1" applyAlignment="1">
      <alignment horizontal="right" vertical="center" wrapText="1"/>
    </xf>
    <xf numFmtId="168" fontId="55" fillId="0" borderId="23" xfId="5" applyNumberFormat="1" applyFont="1" applyFill="1" applyBorder="1" applyAlignment="1">
      <alignment horizontal="right" vertical="center" wrapText="1"/>
    </xf>
    <xf numFmtId="168" fontId="55" fillId="0" borderId="36" xfId="5" applyNumberFormat="1" applyFont="1" applyFill="1" applyBorder="1" applyAlignment="1">
      <alignment horizontal="right" vertical="center" wrapText="1"/>
    </xf>
    <xf numFmtId="168" fontId="76" fillId="0" borderId="32" xfId="5" applyNumberFormat="1" applyFont="1" applyFill="1" applyBorder="1" applyAlignment="1">
      <alignment horizontal="right" vertical="center" wrapText="1"/>
    </xf>
    <xf numFmtId="168" fontId="76" fillId="0" borderId="1" xfId="5" applyNumberFormat="1" applyFont="1" applyFill="1" applyBorder="1" applyAlignment="1">
      <alignment horizontal="right" vertical="center" wrapText="1"/>
    </xf>
    <xf numFmtId="174" fontId="74" fillId="0" borderId="1" xfId="5" applyNumberFormat="1" applyFont="1" applyFill="1" applyBorder="1" applyAlignment="1">
      <alignment horizontal="right" vertical="center" wrapText="1"/>
    </xf>
    <xf numFmtId="174" fontId="15" fillId="0" borderId="1" xfId="5" applyNumberFormat="1" applyFont="1" applyFill="1" applyBorder="1" applyAlignment="1">
      <alignment horizontal="right" vertical="center" wrapText="1"/>
    </xf>
    <xf numFmtId="168" fontId="55" fillId="0" borderId="4" xfId="5" applyNumberFormat="1" applyFont="1" applyFill="1" applyBorder="1" applyAlignment="1">
      <alignment horizontal="right" vertical="center" wrapText="1"/>
    </xf>
    <xf numFmtId="166" fontId="55" fillId="0" borderId="0" xfId="24" applyNumberFormat="1" applyFont="1" applyFill="1" applyAlignment="1">
      <alignment horizontal="right"/>
    </xf>
    <xf numFmtId="0" fontId="29" fillId="0" borderId="0" xfId="40" applyFont="1" applyFill="1" applyAlignment="1">
      <alignment vertical="center"/>
    </xf>
    <xf numFmtId="0" fontId="34" fillId="0" borderId="0" xfId="40" applyFont="1" applyFill="1" applyAlignment="1">
      <alignment horizontal="right" vertical="center"/>
    </xf>
    <xf numFmtId="0" fontId="29" fillId="0" borderId="0" xfId="40" applyFont="1" applyFill="1" applyAlignment="1">
      <alignment horizontal="right" vertical="center"/>
    </xf>
    <xf numFmtId="168" fontId="29" fillId="0" borderId="0" xfId="40" applyNumberFormat="1" applyFont="1" applyFill="1" applyAlignment="1">
      <alignment horizontal="right" vertical="center"/>
    </xf>
    <xf numFmtId="0" fontId="9" fillId="0" borderId="0" xfId="40" applyFont="1" applyFill="1" applyAlignment="1">
      <alignment vertical="center"/>
    </xf>
    <xf numFmtId="169" fontId="23" fillId="0" borderId="1" xfId="40" applyNumberFormat="1" applyFont="1" applyFill="1" applyBorder="1" applyAlignment="1">
      <alignment horizontal="center" vertical="top" wrapText="1"/>
    </xf>
    <xf numFmtId="168" fontId="13" fillId="0" borderId="1" xfId="24" applyNumberFormat="1" applyFont="1" applyFill="1" applyBorder="1" applyAlignment="1">
      <alignment horizontal="center" vertical="center"/>
    </xf>
    <xf numFmtId="166" fontId="19" fillId="0" borderId="1" xfId="24" applyNumberFormat="1" applyFont="1" applyFill="1" applyBorder="1" applyAlignment="1">
      <alignment horizontal="right" vertical="center" wrapText="1"/>
    </xf>
    <xf numFmtId="168" fontId="19" fillId="0" borderId="1" xfId="24" applyNumberFormat="1" applyFont="1" applyFill="1" applyBorder="1" applyAlignment="1">
      <alignment horizontal="right" vertical="center" wrapText="1"/>
    </xf>
    <xf numFmtId="168" fontId="25" fillId="0" borderId="1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9" fillId="0" borderId="0" xfId="40" applyFont="1" applyFill="1"/>
    <xf numFmtId="168" fontId="9" fillId="0" borderId="1" xfId="24" applyNumberFormat="1" applyFont="1" applyFill="1" applyBorder="1" applyAlignment="1">
      <alignment horizontal="right" vertical="center" wrapText="1"/>
    </xf>
    <xf numFmtId="168" fontId="8" fillId="0" borderId="1" xfId="24" applyNumberFormat="1" applyFont="1" applyFill="1" applyBorder="1" applyAlignment="1">
      <alignment horizontal="right" vertical="center" wrapText="1"/>
    </xf>
    <xf numFmtId="0" fontId="9" fillId="0" borderId="1" xfId="40" applyFont="1" applyFill="1" applyBorder="1"/>
    <xf numFmtId="168" fontId="24" fillId="0" borderId="1" xfId="24" applyNumberFormat="1" applyFont="1" applyFill="1" applyBorder="1" applyAlignment="1">
      <alignment horizontal="right" vertical="center" wrapText="1"/>
    </xf>
    <xf numFmtId="168" fontId="8" fillId="0" borderId="7" xfId="24" applyNumberFormat="1" applyFont="1" applyFill="1" applyBorder="1" applyAlignment="1">
      <alignment horizontal="right" vertical="center" wrapText="1"/>
    </xf>
    <xf numFmtId="166" fontId="27" fillId="0" borderId="1" xfId="24" applyNumberFormat="1" applyFont="1" applyFill="1" applyBorder="1" applyAlignment="1">
      <alignment horizontal="right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0" fontId="9" fillId="0" borderId="0" xfId="40" applyFont="1" applyFill="1" applyAlignment="1">
      <alignment wrapText="1"/>
    </xf>
    <xf numFmtId="168" fontId="8" fillId="0" borderId="15" xfId="24" applyNumberFormat="1" applyFont="1" applyFill="1" applyBorder="1" applyAlignment="1">
      <alignment horizontal="right" vertical="center" wrapText="1"/>
    </xf>
    <xf numFmtId="168" fontId="13" fillId="0" borderId="1" xfId="24" applyNumberFormat="1" applyFont="1" applyFill="1" applyBorder="1" applyAlignment="1">
      <alignment vertical="center" wrapText="1"/>
    </xf>
    <xf numFmtId="168" fontId="8" fillId="0" borderId="1" xfId="24" applyNumberFormat="1" applyFont="1" applyFill="1" applyBorder="1" applyAlignment="1">
      <alignment vertical="center" wrapText="1"/>
    </xf>
    <xf numFmtId="168" fontId="8" fillId="0" borderId="7" xfId="24" applyNumberFormat="1" applyFont="1" applyFill="1" applyBorder="1" applyAlignment="1">
      <alignment vertical="center" wrapText="1"/>
    </xf>
    <xf numFmtId="168" fontId="6" fillId="0" borderId="0" xfId="24" applyNumberFormat="1" applyFont="1" applyFill="1" applyAlignment="1">
      <alignment horizontal="right"/>
    </xf>
    <xf numFmtId="166" fontId="13" fillId="0" borderId="26" xfId="24" applyNumberFormat="1" applyFont="1" applyFill="1" applyBorder="1" applyAlignment="1">
      <alignment horizontal="center" vertical="center"/>
    </xf>
    <xf numFmtId="166" fontId="6" fillId="0" borderId="27" xfId="24" applyNumberFormat="1" applyFont="1" applyFill="1" applyBorder="1" applyAlignment="1">
      <alignment horizontal="right"/>
    </xf>
    <xf numFmtId="169" fontId="23" fillId="0" borderId="26" xfId="40" applyNumberFormat="1" applyFont="1" applyFill="1" applyBorder="1" applyAlignment="1">
      <alignment horizontal="center" vertical="top" wrapText="1"/>
    </xf>
    <xf numFmtId="168" fontId="13" fillId="0" borderId="25" xfId="24" applyNumberFormat="1" applyFont="1" applyFill="1" applyBorder="1" applyAlignment="1">
      <alignment horizontal="center" vertical="center"/>
    </xf>
    <xf numFmtId="49" fontId="22" fillId="0" borderId="7" xfId="40" applyNumberFormat="1" applyFont="1" applyFill="1" applyBorder="1" applyAlignment="1">
      <alignment horizontal="left" vertical="top" wrapText="1"/>
    </xf>
    <xf numFmtId="168" fontId="13" fillId="0" borderId="7" xfId="24" applyNumberFormat="1" applyFont="1" applyFill="1" applyBorder="1" applyAlignment="1">
      <alignment horizontal="right" vertical="center"/>
    </xf>
    <xf numFmtId="166" fontId="6" fillId="0" borderId="0" xfId="24" applyNumberFormat="1" applyFont="1" applyFill="1" applyBorder="1" applyAlignment="1">
      <alignment horizontal="right"/>
    </xf>
    <xf numFmtId="167" fontId="13" fillId="0" borderId="7" xfId="24" applyNumberFormat="1" applyFont="1" applyFill="1" applyBorder="1" applyAlignment="1">
      <alignment horizontal="center" vertical="center"/>
    </xf>
    <xf numFmtId="168" fontId="13" fillId="0" borderId="6" xfId="24" applyNumberFormat="1" applyFont="1" applyFill="1" applyBorder="1" applyAlignment="1">
      <alignment horizontal="right" vertical="center"/>
    </xf>
    <xf numFmtId="0" fontId="19" fillId="0" borderId="7" xfId="40" applyFont="1" applyFill="1" applyBorder="1" applyAlignment="1">
      <alignment horizontal="left" vertical="center"/>
    </xf>
    <xf numFmtId="167" fontId="13" fillId="0" borderId="7" xfId="24" applyNumberFormat="1" applyFont="1" applyFill="1" applyBorder="1" applyAlignment="1">
      <alignment vertical="center" wrapText="1"/>
    </xf>
    <xf numFmtId="168" fontId="13" fillId="0" borderId="6" xfId="24" applyNumberFormat="1" applyFont="1" applyFill="1" applyBorder="1" applyAlignment="1">
      <alignment vertical="center" wrapText="1"/>
    </xf>
    <xf numFmtId="168" fontId="8" fillId="0" borderId="9" xfId="24" applyNumberFormat="1" applyFont="1" applyFill="1" applyBorder="1" applyAlignment="1">
      <alignment horizontal="right" vertical="center" wrapText="1"/>
    </xf>
    <xf numFmtId="168" fontId="10" fillId="0" borderId="9" xfId="24" applyNumberFormat="1" applyFont="1" applyFill="1" applyBorder="1" applyAlignment="1">
      <alignment horizontal="right" vertical="center" wrapText="1"/>
    </xf>
    <xf numFmtId="0" fontId="9" fillId="0" borderId="1" xfId="40" applyFont="1" applyFill="1" applyBorder="1" applyAlignment="1">
      <alignment horizontal="justify" vertical="top" wrapText="1"/>
    </xf>
    <xf numFmtId="168" fontId="13" fillId="0" borderId="9" xfId="24" applyNumberFormat="1" applyFont="1" applyFill="1" applyBorder="1" applyAlignment="1">
      <alignment horizontal="right" vertical="center" wrapText="1"/>
    </xf>
    <xf numFmtId="0" fontId="17" fillId="0" borderId="1" xfId="9" applyFont="1" applyFill="1" applyBorder="1" applyAlignment="1">
      <alignment horizontal="left" vertical="center" wrapText="1"/>
    </xf>
    <xf numFmtId="0" fontId="9" fillId="0" borderId="1" xfId="40" applyFont="1" applyFill="1" applyBorder="1" applyAlignment="1">
      <alignment horizontal="left" vertical="top" wrapText="1"/>
    </xf>
    <xf numFmtId="0" fontId="9" fillId="0" borderId="1" xfId="9" applyFont="1" applyFill="1" applyBorder="1" applyAlignment="1">
      <alignment horizontal="left" vertical="top" wrapText="1"/>
    </xf>
    <xf numFmtId="168" fontId="9" fillId="0" borderId="9" xfId="24" applyNumberFormat="1" applyFont="1" applyFill="1" applyBorder="1" applyAlignment="1">
      <alignment horizontal="right" vertical="center" wrapText="1"/>
    </xf>
    <xf numFmtId="0" fontId="9" fillId="0" borderId="0" xfId="40" applyFont="1" applyFill="1" applyBorder="1"/>
    <xf numFmtId="0" fontId="9" fillId="0" borderId="1" xfId="40" applyFont="1" applyFill="1" applyBorder="1" applyAlignment="1">
      <alignment wrapText="1"/>
    </xf>
    <xf numFmtId="0" fontId="9" fillId="0" borderId="7" xfId="40" applyFont="1" applyFill="1" applyBorder="1" applyAlignment="1">
      <alignment wrapText="1"/>
    </xf>
    <xf numFmtId="168" fontId="8" fillId="0" borderId="6" xfId="24" applyNumberFormat="1" applyFont="1" applyFill="1" applyBorder="1" applyAlignment="1">
      <alignment horizontal="right" vertical="center" wrapText="1"/>
    </xf>
    <xf numFmtId="0" fontId="17" fillId="0" borderId="8" xfId="9" applyFont="1" applyFill="1" applyBorder="1" applyAlignment="1">
      <alignment horizontal="left" vertical="center" wrapText="1"/>
    </xf>
    <xf numFmtId="167" fontId="9" fillId="0" borderId="1" xfId="9" applyNumberFormat="1" applyFont="1" applyFill="1" applyBorder="1" applyAlignment="1">
      <alignment horizontal="left" vertical="center" wrapText="1"/>
    </xf>
    <xf numFmtId="168" fontId="9" fillId="0" borderId="9" xfId="9" applyNumberFormat="1" applyFont="1" applyFill="1" applyBorder="1" applyAlignment="1">
      <alignment horizontal="right" vertical="center" wrapText="1"/>
    </xf>
    <xf numFmtId="0" fontId="17" fillId="0" borderId="0" xfId="9" applyFont="1" applyFill="1" applyBorder="1" applyAlignment="1">
      <alignment horizontal="left" vertical="center" wrapText="1"/>
    </xf>
    <xf numFmtId="167" fontId="8" fillId="0" borderId="2" xfId="24" applyNumberFormat="1" applyFont="1" applyFill="1" applyBorder="1" applyAlignment="1">
      <alignment horizontal="right" vertical="center" wrapText="1"/>
    </xf>
    <xf numFmtId="165" fontId="13" fillId="0" borderId="2" xfId="24" applyFont="1" applyFill="1" applyBorder="1" applyAlignment="1">
      <alignment horizontal="right" vertical="center" wrapText="1"/>
    </xf>
    <xf numFmtId="166" fontId="13" fillId="0" borderId="2" xfId="24" applyNumberFormat="1" applyFont="1" applyFill="1" applyBorder="1" applyAlignment="1">
      <alignment horizontal="right" vertical="center" wrapText="1"/>
    </xf>
    <xf numFmtId="168" fontId="8" fillId="0" borderId="2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left" vertical="center" wrapText="1"/>
    </xf>
    <xf numFmtId="168" fontId="13" fillId="0" borderId="1" xfId="24" applyNumberFormat="1" applyFont="1" applyFill="1" applyBorder="1" applyAlignment="1" applyProtection="1">
      <alignment horizontal="right" vertical="center" wrapText="1"/>
      <protection locked="0"/>
    </xf>
    <xf numFmtId="168" fontId="13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9" fillId="0" borderId="0" xfId="40" applyFont="1" applyFill="1" applyBorder="1" applyAlignment="1">
      <alignment wrapText="1"/>
    </xf>
    <xf numFmtId="167" fontId="6" fillId="0" borderId="1" xfId="24" applyNumberFormat="1" applyFont="1" applyFill="1" applyBorder="1" applyAlignment="1">
      <alignment vertical="center"/>
    </xf>
    <xf numFmtId="166" fontId="9" fillId="0" borderId="1" xfId="24" applyNumberFormat="1" applyFont="1" applyFill="1" applyBorder="1" applyAlignment="1">
      <alignment vertical="center"/>
    </xf>
    <xf numFmtId="169" fontId="9" fillId="0" borderId="1" xfId="9" applyNumberFormat="1" applyFont="1" applyFill="1" applyBorder="1" applyAlignment="1" applyProtection="1">
      <alignment horizontal="left" vertical="center" wrapText="1"/>
    </xf>
    <xf numFmtId="0" fontId="9" fillId="0" borderId="7" xfId="40" applyFont="1" applyFill="1" applyBorder="1"/>
    <xf numFmtId="166" fontId="8" fillId="0" borderId="0" xfId="24" applyNumberFormat="1" applyFont="1" applyFill="1" applyBorder="1" applyAlignment="1">
      <alignment horizontal="right" vertical="center" wrapText="1"/>
    </xf>
    <xf numFmtId="167" fontId="8" fillId="0" borderId="0" xfId="24" applyNumberFormat="1" applyFont="1" applyFill="1" applyBorder="1" applyAlignment="1">
      <alignment horizontal="right" vertical="center" wrapText="1"/>
    </xf>
    <xf numFmtId="0" fontId="8" fillId="0" borderId="1" xfId="40" applyFont="1" applyFill="1" applyBorder="1" applyAlignment="1">
      <alignment horizontal="justify" vertical="top" wrapText="1"/>
    </xf>
    <xf numFmtId="167" fontId="13" fillId="0" borderId="9" xfId="24" applyNumberFormat="1" applyFont="1" applyFill="1" applyBorder="1" applyAlignment="1">
      <alignment horizontal="right" vertical="center" wrapText="1"/>
    </xf>
    <xf numFmtId="166" fontId="8" fillId="0" borderId="10" xfId="24" applyNumberFormat="1" applyFont="1" applyFill="1" applyBorder="1" applyAlignment="1">
      <alignment horizontal="right" vertical="center" wrapText="1"/>
    </xf>
    <xf numFmtId="167" fontId="8" fillId="0" borderId="1" xfId="24" applyNumberFormat="1" applyFont="1" applyFill="1" applyBorder="1" applyAlignment="1">
      <alignment vertical="center" wrapText="1"/>
    </xf>
    <xf numFmtId="168" fontId="8" fillId="0" borderId="9" xfId="24" applyNumberFormat="1" applyFont="1" applyFill="1" applyBorder="1" applyAlignment="1">
      <alignment vertical="center" wrapText="1"/>
    </xf>
    <xf numFmtId="0" fontId="9" fillId="0" borderId="10" xfId="40" applyFont="1" applyFill="1" applyBorder="1"/>
    <xf numFmtId="166" fontId="10" fillId="0" borderId="1" xfId="24" applyNumberFormat="1" applyFont="1" applyFill="1" applyBorder="1" applyAlignment="1">
      <alignment horizontal="right"/>
    </xf>
    <xf numFmtId="168" fontId="10" fillId="0" borderId="9" xfId="24" applyNumberFormat="1" applyFont="1" applyFill="1" applyBorder="1" applyAlignment="1">
      <alignment horizontal="right"/>
    </xf>
    <xf numFmtId="166" fontId="9" fillId="0" borderId="1" xfId="24" applyNumberFormat="1" applyFont="1" applyFill="1" applyBorder="1" applyAlignment="1">
      <alignment horizontal="right"/>
    </xf>
    <xf numFmtId="168" fontId="9" fillId="0" borderId="9" xfId="24" applyNumberFormat="1" applyFont="1" applyFill="1" applyBorder="1" applyAlignment="1">
      <alignment horizontal="right"/>
    </xf>
    <xf numFmtId="0" fontId="14" fillId="0" borderId="1" xfId="40" applyFont="1" applyFill="1" applyBorder="1" applyAlignment="1">
      <alignment vertical="center" wrapText="1"/>
    </xf>
    <xf numFmtId="166" fontId="10" fillId="0" borderId="2" xfId="24" applyNumberFormat="1" applyFont="1" applyFill="1" applyBorder="1" applyAlignment="1">
      <alignment horizontal="right"/>
    </xf>
    <xf numFmtId="166" fontId="6" fillId="0" borderId="2" xfId="24" applyNumberFormat="1" applyFont="1" applyFill="1" applyBorder="1" applyAlignment="1">
      <alignment horizontal="right"/>
    </xf>
    <xf numFmtId="166" fontId="11" fillId="0" borderId="2" xfId="24" applyNumberFormat="1" applyFont="1" applyFill="1" applyBorder="1" applyAlignment="1">
      <alignment horizontal="right"/>
    </xf>
    <xf numFmtId="168" fontId="10" fillId="0" borderId="20" xfId="24" applyNumberFormat="1" applyFont="1" applyFill="1" applyBorder="1" applyAlignment="1">
      <alignment horizontal="right"/>
    </xf>
    <xf numFmtId="166" fontId="6" fillId="0" borderId="1" xfId="24" applyNumberFormat="1" applyFont="1" applyFill="1" applyBorder="1" applyAlignment="1">
      <alignment horizontal="right"/>
    </xf>
    <xf numFmtId="166" fontId="8" fillId="0" borderId="4" xfId="24" applyNumberFormat="1" applyFont="1" applyFill="1" applyBorder="1" applyAlignment="1">
      <alignment horizontal="right" vertical="center" wrapText="1"/>
    </xf>
    <xf numFmtId="166" fontId="6" fillId="0" borderId="4" xfId="24" applyNumberFormat="1" applyFont="1" applyFill="1" applyBorder="1" applyAlignment="1">
      <alignment horizontal="right"/>
    </xf>
    <xf numFmtId="0" fontId="47" fillId="0" borderId="29" xfId="5" applyFont="1" applyFill="1" applyBorder="1" applyAlignment="1">
      <alignment horizontal="center" vertical="center" wrapText="1"/>
    </xf>
    <xf numFmtId="172" fontId="47" fillId="0" borderId="26" xfId="5" applyNumberFormat="1" applyFont="1" applyFill="1" applyBorder="1" applyAlignment="1">
      <alignment horizontal="center" vertical="center" wrapText="1"/>
    </xf>
    <xf numFmtId="166" fontId="47" fillId="0" borderId="26" xfId="5" applyNumberFormat="1" applyFont="1" applyFill="1" applyBorder="1" applyAlignment="1">
      <alignment horizontal="center" vertical="center" wrapText="1"/>
    </xf>
    <xf numFmtId="49" fontId="47" fillId="0" borderId="26" xfId="5" applyNumberFormat="1" applyFont="1" applyFill="1" applyBorder="1" applyAlignment="1">
      <alignment horizontal="center" vertical="center" wrapText="1"/>
    </xf>
    <xf numFmtId="168" fontId="47" fillId="0" borderId="26" xfId="5" applyNumberFormat="1" applyFont="1" applyFill="1" applyBorder="1" applyAlignment="1">
      <alignment horizontal="center" vertical="center" wrapText="1"/>
    </xf>
    <xf numFmtId="168" fontId="47" fillId="0" borderId="25" xfId="5" applyNumberFormat="1" applyFont="1" applyFill="1" applyBorder="1" applyAlignment="1">
      <alignment horizontal="center" vertical="center" wrapText="1"/>
    </xf>
    <xf numFmtId="0" fontId="9" fillId="0" borderId="24" xfId="5" applyFont="1" applyFill="1" applyBorder="1" applyAlignment="1">
      <alignment horizontal="center" vertical="center"/>
    </xf>
    <xf numFmtId="172" fontId="10" fillId="0" borderId="23" xfId="5" applyNumberFormat="1" applyFont="1" applyFill="1" applyBorder="1" applyAlignment="1">
      <alignment horizontal="left" vertical="center" wrapText="1"/>
    </xf>
    <xf numFmtId="166" fontId="10" fillId="0" borderId="23" xfId="5" applyNumberFormat="1" applyFont="1" applyFill="1" applyBorder="1" applyAlignment="1">
      <alignment horizontal="left" vertical="center" wrapText="1"/>
    </xf>
    <xf numFmtId="49" fontId="10" fillId="0" borderId="23" xfId="5" applyNumberFormat="1" applyFont="1" applyFill="1" applyBorder="1" applyAlignment="1">
      <alignment horizontal="center" vertical="center" wrapText="1"/>
    </xf>
    <xf numFmtId="168" fontId="10" fillId="0" borderId="23" xfId="5" applyNumberFormat="1" applyFont="1" applyFill="1" applyBorder="1" applyAlignment="1">
      <alignment horizontal="right" vertical="center" wrapText="1"/>
    </xf>
    <xf numFmtId="168" fontId="10" fillId="0" borderId="34" xfId="5" applyNumberFormat="1" applyFont="1" applyFill="1" applyBorder="1" applyAlignment="1">
      <alignment horizontal="right" vertical="center" wrapText="1"/>
    </xf>
    <xf numFmtId="0" fontId="47" fillId="0" borderId="61" xfId="5" applyFont="1" applyFill="1" applyBorder="1" applyAlignment="1">
      <alignment horizontal="center" vertical="center"/>
    </xf>
    <xf numFmtId="0" fontId="47" fillId="0" borderId="62" xfId="8" applyFont="1" applyFill="1" applyBorder="1" applyAlignment="1">
      <alignment horizontal="left" vertical="center" wrapText="1"/>
    </xf>
    <xf numFmtId="49" fontId="47" fillId="0" borderId="62" xfId="5" applyNumberFormat="1" applyFont="1" applyFill="1" applyBorder="1" applyAlignment="1">
      <alignment horizontal="center" vertical="center" wrapText="1"/>
    </xf>
    <xf numFmtId="168" fontId="47" fillId="0" borderId="62" xfId="5" applyNumberFormat="1" applyFont="1" applyFill="1" applyBorder="1" applyAlignment="1">
      <alignment horizontal="right" vertical="center" wrapText="1"/>
    </xf>
    <xf numFmtId="168" fontId="47" fillId="0" borderId="63" xfId="5" applyNumberFormat="1" applyFont="1" applyFill="1" applyBorder="1" applyAlignment="1">
      <alignment horizontal="right" vertical="center" wrapText="1"/>
    </xf>
    <xf numFmtId="168" fontId="47" fillId="0" borderId="1" xfId="5" applyNumberFormat="1" applyFont="1" applyFill="1" applyBorder="1" applyAlignment="1">
      <alignment horizontal="right" vertical="center" wrapText="1"/>
    </xf>
    <xf numFmtId="168" fontId="9" fillId="0" borderId="9" xfId="3" applyNumberFormat="1" applyFont="1" applyFill="1" applyBorder="1"/>
    <xf numFmtId="172" fontId="47" fillId="0" borderId="2" xfId="5" applyNumberFormat="1" applyFont="1" applyFill="1" applyBorder="1" applyAlignment="1">
      <alignment horizontal="left" vertical="center" wrapText="1"/>
    </xf>
    <xf numFmtId="168" fontId="47" fillId="0" borderId="2" xfId="5" applyNumberFormat="1" applyFont="1" applyFill="1" applyBorder="1" applyAlignment="1">
      <alignment horizontal="right" vertical="center" wrapText="1"/>
    </xf>
    <xf numFmtId="168" fontId="47" fillId="0" borderId="20" xfId="5" applyNumberFormat="1" applyFont="1" applyFill="1" applyBorder="1" applyAlignment="1">
      <alignment horizontal="right" vertical="center" wrapText="1"/>
    </xf>
    <xf numFmtId="168" fontId="47" fillId="0" borderId="1" xfId="5" applyNumberFormat="1" applyFont="1" applyFill="1" applyBorder="1" applyAlignment="1">
      <alignment horizontal="right" vertical="center"/>
    </xf>
    <xf numFmtId="168" fontId="47" fillId="0" borderId="9" xfId="5" applyNumberFormat="1" applyFont="1" applyFill="1" applyBorder="1" applyAlignment="1">
      <alignment horizontal="right" vertical="center"/>
    </xf>
    <xf numFmtId="168" fontId="48" fillId="0" borderId="1" xfId="5" applyNumberFormat="1" applyFont="1" applyFill="1" applyBorder="1" applyAlignment="1">
      <alignment horizontal="right" vertical="center"/>
    </xf>
    <xf numFmtId="168" fontId="48" fillId="0" borderId="9" xfId="5" applyNumberFormat="1" applyFont="1" applyFill="1" applyBorder="1" applyAlignment="1">
      <alignment horizontal="right" vertical="center"/>
    </xf>
    <xf numFmtId="49" fontId="48" fillId="0" borderId="1" xfId="5" applyNumberFormat="1" applyFont="1" applyFill="1" applyBorder="1" applyAlignment="1">
      <alignment horizontal="center" vertical="top" wrapText="1"/>
    </xf>
    <xf numFmtId="168" fontId="48" fillId="0" borderId="23" xfId="5" applyNumberFormat="1" applyFont="1" applyFill="1" applyBorder="1" applyAlignment="1">
      <alignment horizontal="right" vertical="center"/>
    </xf>
    <xf numFmtId="168" fontId="48" fillId="0" borderId="34" xfId="5" applyNumberFormat="1" applyFont="1" applyFill="1" applyBorder="1" applyAlignment="1">
      <alignment horizontal="right" vertical="center"/>
    </xf>
    <xf numFmtId="172" fontId="47" fillId="0" borderId="32" xfId="5" applyNumberFormat="1" applyFont="1" applyFill="1" applyBorder="1" applyAlignment="1">
      <alignment horizontal="left" vertical="center" wrapText="1"/>
    </xf>
    <xf numFmtId="168" fontId="47" fillId="0" borderId="32" xfId="5" applyNumberFormat="1" applyFont="1" applyFill="1" applyBorder="1" applyAlignment="1">
      <alignment horizontal="right" vertical="center" wrapText="1"/>
    </xf>
    <xf numFmtId="168" fontId="47" fillId="0" borderId="31" xfId="5" applyNumberFormat="1" applyFont="1" applyFill="1" applyBorder="1" applyAlignment="1">
      <alignment horizontal="right" vertical="center" wrapText="1"/>
    </xf>
    <xf numFmtId="0" fontId="47" fillId="0" borderId="0" xfId="9" applyFont="1" applyFill="1" applyBorder="1" applyAlignment="1">
      <alignment wrapText="1"/>
    </xf>
    <xf numFmtId="168" fontId="48" fillId="0" borderId="1" xfId="5" applyNumberFormat="1" applyFont="1" applyFill="1" applyBorder="1" applyAlignment="1">
      <alignment horizontal="right" vertical="center" wrapText="1"/>
    </xf>
    <xf numFmtId="168" fontId="48" fillId="0" borderId="9" xfId="5" applyNumberFormat="1" applyFont="1" applyFill="1" applyBorder="1" applyAlignment="1">
      <alignment horizontal="right" vertical="center" wrapText="1"/>
    </xf>
    <xf numFmtId="0" fontId="68" fillId="0" borderId="7" xfId="3" applyFont="1" applyFill="1" applyBorder="1" applyAlignment="1">
      <alignment horizontal="left" vertical="center" wrapText="1"/>
    </xf>
    <xf numFmtId="168" fontId="47" fillId="0" borderId="9" xfId="5" applyNumberFormat="1" applyFont="1" applyFill="1" applyBorder="1" applyAlignment="1">
      <alignment horizontal="right" vertical="center" wrapText="1"/>
    </xf>
    <xf numFmtId="0" fontId="77" fillId="0" borderId="7" xfId="3" applyFont="1" applyFill="1" applyBorder="1" applyAlignment="1">
      <alignment horizontal="left" vertical="center" wrapText="1"/>
    </xf>
    <xf numFmtId="172" fontId="47" fillId="0" borderId="1" xfId="5" applyNumberFormat="1" applyFont="1" applyFill="1" applyBorder="1" applyAlignment="1">
      <alignment horizontal="left" vertical="top" wrapText="1"/>
    </xf>
    <xf numFmtId="0" fontId="78" fillId="0" borderId="7" xfId="3" applyFont="1" applyFill="1" applyBorder="1" applyAlignment="1">
      <alignment horizontal="left" vertical="center" wrapText="1"/>
    </xf>
    <xf numFmtId="49" fontId="48" fillId="0" borderId="1" xfId="14" applyNumberFormat="1" applyFont="1" applyFill="1" applyBorder="1" applyAlignment="1">
      <alignment horizontal="center" vertical="top" wrapText="1"/>
    </xf>
    <xf numFmtId="173" fontId="9" fillId="0" borderId="1" xfId="11" applyNumberFormat="1" applyFont="1" applyFill="1" applyBorder="1" applyAlignment="1" applyProtection="1">
      <alignment horizontal="left" vertical="top" wrapText="1"/>
    </xf>
    <xf numFmtId="0" fontId="75" fillId="0" borderId="7" xfId="9" applyFont="1" applyFill="1" applyBorder="1" applyAlignment="1">
      <alignment horizontal="left" vertical="center" wrapText="1"/>
    </xf>
    <xf numFmtId="172" fontId="47" fillId="0" borderId="1" xfId="12" applyNumberFormat="1" applyFont="1" applyFill="1" applyBorder="1" applyAlignment="1" applyProtection="1">
      <alignment horizontal="left" vertical="center" wrapText="1"/>
    </xf>
    <xf numFmtId="168" fontId="77" fillId="0" borderId="1" xfId="14" applyNumberFormat="1" applyFont="1" applyFill="1" applyBorder="1" applyAlignment="1">
      <alignment horizontal="right" vertical="center"/>
    </xf>
    <xf numFmtId="168" fontId="77" fillId="0" borderId="9" xfId="14" applyNumberFormat="1" applyFont="1" applyFill="1" applyBorder="1" applyAlignment="1">
      <alignment horizontal="right" vertical="center"/>
    </xf>
    <xf numFmtId="0" fontId="68" fillId="0" borderId="8" xfId="14" applyFont="1" applyFill="1" applyBorder="1" applyAlignment="1">
      <alignment horizontal="center" vertical="center"/>
    </xf>
    <xf numFmtId="0" fontId="68" fillId="0" borderId="8" xfId="14" applyFont="1" applyFill="1" applyBorder="1" applyAlignment="1">
      <alignment vertical="center"/>
    </xf>
    <xf numFmtId="0" fontId="68" fillId="0" borderId="15" xfId="3" applyFont="1" applyFill="1" applyBorder="1" applyAlignment="1">
      <alignment vertical="top" wrapText="1"/>
    </xf>
    <xf numFmtId="0" fontId="68" fillId="0" borderId="18" xfId="3" applyFont="1" applyFill="1" applyBorder="1" applyAlignment="1">
      <alignment vertical="top" wrapText="1"/>
    </xf>
    <xf numFmtId="0" fontId="68" fillId="0" borderId="7" xfId="3" applyFont="1" applyFill="1" applyBorder="1" applyAlignment="1">
      <alignment vertical="top" wrapText="1"/>
    </xf>
    <xf numFmtId="168" fontId="68" fillId="0" borderId="1" xfId="14" applyNumberFormat="1" applyFont="1" applyFill="1" applyBorder="1" applyAlignment="1">
      <alignment horizontal="right" vertical="center"/>
    </xf>
    <xf numFmtId="168" fontId="68" fillId="0" borderId="9" xfId="14" applyNumberFormat="1" applyFont="1" applyFill="1" applyBorder="1" applyAlignment="1">
      <alignment horizontal="right" vertical="center"/>
    </xf>
    <xf numFmtId="172" fontId="48" fillId="0" borderId="2" xfId="5" applyNumberFormat="1" applyFont="1" applyFill="1" applyBorder="1" applyAlignment="1">
      <alignment horizontal="left" vertical="center" wrapText="1" indent="2"/>
    </xf>
    <xf numFmtId="166" fontId="48" fillId="0" borderId="2" xfId="5" applyNumberFormat="1" applyFont="1" applyFill="1" applyBorder="1" applyAlignment="1">
      <alignment horizontal="left" vertical="center" wrapText="1" indent="2"/>
    </xf>
    <xf numFmtId="49" fontId="48" fillId="0" borderId="2" xfId="5" applyNumberFormat="1" applyFont="1" applyFill="1" applyBorder="1" applyAlignment="1">
      <alignment horizontal="center" vertical="center" wrapText="1"/>
    </xf>
    <xf numFmtId="168" fontId="48" fillId="0" borderId="2" xfId="5" applyNumberFormat="1" applyFont="1" applyFill="1" applyBorder="1" applyAlignment="1">
      <alignment horizontal="right" vertical="center" wrapText="1"/>
    </xf>
    <xf numFmtId="168" fontId="48" fillId="0" borderId="20" xfId="5" applyNumberFormat="1" applyFont="1" applyFill="1" applyBorder="1" applyAlignment="1">
      <alignment horizontal="right" vertical="center" wrapText="1"/>
    </xf>
    <xf numFmtId="0" fontId="48" fillId="0" borderId="5" xfId="5" applyFont="1" applyFill="1" applyBorder="1" applyAlignment="1">
      <alignment vertical="center"/>
    </xf>
    <xf numFmtId="168" fontId="48" fillId="0" borderId="4" xfId="5" applyNumberFormat="1" applyFont="1" applyFill="1" applyBorder="1" applyAlignment="1">
      <alignment horizontal="right" vertical="center" wrapText="1"/>
    </xf>
    <xf numFmtId="168" fontId="79" fillId="0" borderId="4" xfId="5" applyNumberFormat="1" applyFont="1" applyFill="1" applyBorder="1" applyAlignment="1">
      <alignment horizontal="right" vertical="center" wrapText="1"/>
    </xf>
    <xf numFmtId="168" fontId="48" fillId="0" borderId="3" xfId="5" applyNumberFormat="1" applyFont="1" applyFill="1" applyBorder="1" applyAlignment="1">
      <alignment horizontal="right" vertical="center" wrapText="1"/>
    </xf>
    <xf numFmtId="172" fontId="48" fillId="0" borderId="2" xfId="5" applyNumberFormat="1" applyFont="1" applyFill="1" applyBorder="1" applyAlignment="1">
      <alignment horizontal="left" vertical="center" wrapText="1"/>
    </xf>
    <xf numFmtId="166" fontId="48" fillId="0" borderId="2" xfId="5" applyNumberFormat="1" applyFont="1" applyFill="1" applyBorder="1" applyAlignment="1">
      <alignment horizontal="left" vertical="center" wrapText="1"/>
    </xf>
    <xf numFmtId="0" fontId="48" fillId="0" borderId="24" xfId="5" applyFont="1" applyFill="1" applyBorder="1" applyAlignment="1">
      <alignment vertical="center"/>
    </xf>
    <xf numFmtId="168" fontId="48" fillId="0" borderId="23" xfId="5" applyNumberFormat="1" applyFont="1" applyFill="1" applyBorder="1" applyAlignment="1">
      <alignment horizontal="right" vertical="center" wrapText="1"/>
    </xf>
    <xf numFmtId="168" fontId="48" fillId="0" borderId="34" xfId="5" applyNumberFormat="1" applyFont="1" applyFill="1" applyBorder="1" applyAlignment="1">
      <alignment horizontal="right" vertical="center" wrapText="1"/>
    </xf>
    <xf numFmtId="49" fontId="48" fillId="0" borderId="32" xfId="5" applyNumberFormat="1" applyFont="1" applyFill="1" applyBorder="1" applyAlignment="1">
      <alignment horizontal="center" vertical="center" wrapText="1"/>
    </xf>
    <xf numFmtId="168" fontId="48" fillId="0" borderId="32" xfId="5" applyNumberFormat="1" applyFont="1" applyFill="1" applyBorder="1" applyAlignment="1">
      <alignment horizontal="right" vertical="center" wrapText="1"/>
    </xf>
    <xf numFmtId="0" fontId="48" fillId="0" borderId="5" xfId="5" applyFont="1" applyFill="1" applyBorder="1" applyAlignment="1">
      <alignment horizontal="center" vertical="center"/>
    </xf>
    <xf numFmtId="0" fontId="9" fillId="0" borderId="0" xfId="3" applyFont="1" applyFill="1"/>
    <xf numFmtId="0" fontId="9" fillId="0" borderId="0" xfId="3" applyFont="1" applyFill="1" applyAlignment="1">
      <alignment horizontal="left" vertical="center"/>
    </xf>
    <xf numFmtId="0" fontId="9" fillId="0" borderId="0" xfId="3" applyFont="1" applyFill="1" applyAlignment="1">
      <alignment horizontal="center"/>
    </xf>
    <xf numFmtId="0" fontId="9" fillId="0" borderId="0" xfId="3" applyFont="1" applyFill="1" applyAlignment="1">
      <alignment horizontal="center" vertical="center"/>
    </xf>
    <xf numFmtId="166" fontId="9" fillId="0" borderId="0" xfId="24" applyNumberFormat="1" applyFont="1" applyFill="1" applyAlignment="1">
      <alignment horizontal="right"/>
    </xf>
    <xf numFmtId="0" fontId="4" fillId="0" borderId="0" xfId="39" applyFill="1"/>
    <xf numFmtId="168" fontId="12" fillId="0" borderId="7" xfId="3" applyNumberFormat="1" applyFont="1" applyFill="1" applyBorder="1" applyAlignment="1">
      <alignment horizontal="center" vertical="center" wrapText="1"/>
    </xf>
    <xf numFmtId="166" fontId="13" fillId="0" borderId="13" xfId="34" applyNumberFormat="1" applyFont="1" applyFill="1" applyBorder="1" applyAlignment="1">
      <alignment horizontal="right" vertical="center" wrapText="1"/>
    </xf>
    <xf numFmtId="166" fontId="8" fillId="0" borderId="13" xfId="34" applyNumberFormat="1" applyFont="1" applyFill="1" applyBorder="1" applyAlignment="1">
      <alignment horizontal="right" vertical="center" wrapText="1"/>
    </xf>
    <xf numFmtId="166" fontId="8" fillId="0" borderId="23" xfId="24" applyNumberFormat="1" applyFont="1" applyFill="1" applyBorder="1" applyAlignment="1">
      <alignment horizontal="right" vertical="center" wrapText="1"/>
    </xf>
    <xf numFmtId="4" fontId="6" fillId="0" borderId="0" xfId="3" applyNumberFormat="1" applyFont="1" applyFill="1"/>
    <xf numFmtId="0" fontId="83" fillId="0" borderId="0" xfId="3" applyFont="1" applyFill="1"/>
    <xf numFmtId="4" fontId="83" fillId="0" borderId="0" xfId="3" applyNumberFormat="1" applyFont="1" applyFill="1"/>
    <xf numFmtId="0" fontId="6" fillId="0" borderId="0" xfId="3" applyNumberFormat="1" applyFont="1" applyFill="1"/>
    <xf numFmtId="0" fontId="84" fillId="0" borderId="0" xfId="3" applyFont="1" applyFill="1"/>
    <xf numFmtId="166" fontId="9" fillId="0" borderId="1" xfId="3" applyNumberFormat="1" applyFont="1" applyFill="1" applyBorder="1" applyAlignment="1">
      <alignment horizontal="right" vertical="center" wrapText="1"/>
    </xf>
    <xf numFmtId="166" fontId="9" fillId="0" borderId="0" xfId="24" applyNumberFormat="1" applyFont="1" applyAlignment="1">
      <alignment horizontal="right" vertical="center"/>
    </xf>
    <xf numFmtId="0" fontId="9" fillId="0" borderId="1" xfId="3" applyFont="1" applyFill="1" applyBorder="1" applyAlignment="1">
      <alignment horizontal="center" vertical="top" wrapText="1"/>
    </xf>
    <xf numFmtId="0" fontId="9" fillId="0" borderId="13" xfId="3" applyFont="1" applyFill="1" applyBorder="1" applyAlignment="1">
      <alignment horizontal="center" vertical="center" wrapText="1"/>
    </xf>
    <xf numFmtId="166" fontId="9" fillId="0" borderId="16" xfId="24" applyNumberFormat="1" applyFont="1" applyBorder="1" applyAlignment="1">
      <alignment horizontal="right" vertical="center"/>
    </xf>
    <xf numFmtId="166" fontId="9" fillId="0" borderId="0" xfId="24" applyNumberFormat="1" applyFont="1" applyBorder="1" applyAlignment="1">
      <alignment horizontal="right"/>
    </xf>
    <xf numFmtId="166" fontId="9" fillId="0" borderId="10" xfId="24" applyNumberFormat="1" applyFont="1" applyBorder="1" applyAlignment="1">
      <alignment horizontal="right"/>
    </xf>
    <xf numFmtId="0" fontId="86" fillId="0" borderId="0" xfId="7" applyFont="1" applyFill="1" applyAlignment="1"/>
    <xf numFmtId="0" fontId="87" fillId="0" borderId="0" xfId="9" applyFont="1" applyFill="1" applyAlignment="1">
      <alignment vertical="center"/>
    </xf>
    <xf numFmtId="0" fontId="86" fillId="0" borderId="0" xfId="7" applyFont="1" applyFill="1" applyAlignment="1">
      <alignment horizontal="right" vertical="center"/>
    </xf>
    <xf numFmtId="0" fontId="11" fillId="0" borderId="0" xfId="3" applyFont="1" applyFill="1" applyAlignment="1">
      <alignment horizontal="center" vertical="center"/>
    </xf>
    <xf numFmtId="0" fontId="86" fillId="0" borderId="0" xfId="7" applyFont="1" applyFill="1" applyAlignment="1">
      <alignment horizontal="right"/>
    </xf>
    <xf numFmtId="0" fontId="22" fillId="0" borderId="0" xfId="8" applyFont="1" applyFill="1" applyAlignment="1">
      <alignment horizontal="right"/>
    </xf>
    <xf numFmtId="0" fontId="22" fillId="0" borderId="0" xfId="9" applyFont="1" applyFill="1" applyAlignment="1">
      <alignment horizontal="right" vertical="center"/>
    </xf>
    <xf numFmtId="0" fontId="10" fillId="0" borderId="0" xfId="9" applyFont="1" applyFill="1" applyAlignment="1">
      <alignment vertical="center"/>
    </xf>
    <xf numFmtId="0" fontId="88" fillId="0" borderId="0" xfId="3" applyFont="1" applyFill="1"/>
    <xf numFmtId="168" fontId="88" fillId="0" borderId="0" xfId="3" applyNumberFormat="1" applyFont="1" applyFill="1"/>
    <xf numFmtId="0" fontId="11" fillId="0" borderId="0" xfId="3" applyFont="1" applyFill="1" applyAlignment="1">
      <alignment horizontal="center"/>
    </xf>
    <xf numFmtId="0" fontId="90" fillId="0" borderId="0" xfId="3" applyFont="1" applyFill="1"/>
    <xf numFmtId="0" fontId="85" fillId="0" borderId="0" xfId="39" applyFont="1" applyFill="1"/>
    <xf numFmtId="179" fontId="74" fillId="0" borderId="9" xfId="5" applyNumberFormat="1" applyFont="1" applyFill="1" applyBorder="1" applyAlignment="1">
      <alignment horizontal="right" vertical="center"/>
    </xf>
    <xf numFmtId="0" fontId="33" fillId="0" borderId="0" xfId="7" applyFont="1" applyFill="1" applyAlignment="1">
      <alignment horizontal="right"/>
    </xf>
    <xf numFmtId="0" fontId="29" fillId="0" borderId="0" xfId="9" applyFont="1" applyFill="1" applyAlignment="1">
      <alignment horizontal="right" vertical="center"/>
    </xf>
    <xf numFmtId="168" fontId="11" fillId="0" borderId="0" xfId="3" applyNumberFormat="1" applyFont="1" applyFill="1"/>
    <xf numFmtId="165" fontId="47" fillId="0" borderId="1" xfId="1" applyFont="1" applyFill="1" applyBorder="1" applyAlignment="1">
      <alignment horizontal="right"/>
    </xf>
    <xf numFmtId="0" fontId="0" fillId="0" borderId="0" xfId="0" applyFill="1"/>
    <xf numFmtId="0" fontId="89" fillId="0" borderId="0" xfId="39" applyFont="1" applyFill="1"/>
    <xf numFmtId="0" fontId="91" fillId="0" borderId="0" xfId="39" applyFont="1" applyFill="1"/>
    <xf numFmtId="168" fontId="92" fillId="0" borderId="1" xfId="39" applyNumberFormat="1" applyFont="1" applyFill="1" applyBorder="1"/>
    <xf numFmtId="168" fontId="48" fillId="0" borderId="1" xfId="0" applyNumberFormat="1" applyFont="1" applyFill="1" applyBorder="1"/>
    <xf numFmtId="0" fontId="11" fillId="0" borderId="0" xfId="0" applyFont="1" applyFill="1"/>
    <xf numFmtId="0" fontId="90" fillId="0" borderId="0" xfId="0" applyFont="1" applyFill="1"/>
    <xf numFmtId="0" fontId="83" fillId="0" borderId="0" xfId="0" applyFont="1" applyFill="1"/>
    <xf numFmtId="0" fontId="73" fillId="0" borderId="2" xfId="0" applyFont="1" applyFill="1" applyBorder="1" applyAlignment="1">
      <alignment horizontal="left" vertical="center" wrapText="1"/>
    </xf>
    <xf numFmtId="166" fontId="8" fillId="0" borderId="2" xfId="24" applyNumberFormat="1" applyFont="1" applyFill="1" applyBorder="1" applyAlignment="1">
      <alignment horizontal="right" vertical="center" wrapText="1"/>
    </xf>
    <xf numFmtId="0" fontId="6" fillId="0" borderId="24" xfId="3" applyFont="1" applyFill="1" applyBorder="1"/>
    <xf numFmtId="166" fontId="6" fillId="0" borderId="23" xfId="24" applyNumberFormat="1" applyFont="1" applyFill="1" applyBorder="1" applyAlignment="1">
      <alignment horizontal="right"/>
    </xf>
    <xf numFmtId="166" fontId="8" fillId="0" borderId="16" xfId="24" applyNumberFormat="1" applyFont="1" applyFill="1" applyBorder="1" applyAlignment="1">
      <alignment horizontal="right" vertical="center" wrapText="1"/>
    </xf>
    <xf numFmtId="0" fontId="48" fillId="0" borderId="18" xfId="37" applyFont="1" applyFill="1" applyBorder="1" applyAlignment="1">
      <alignment horizontal="left" vertical="center" wrapText="1"/>
    </xf>
    <xf numFmtId="166" fontId="13" fillId="0" borderId="7" xfId="24" applyNumberFormat="1" applyFont="1" applyFill="1" applyBorder="1" applyAlignment="1">
      <alignment horizontal="right" vertical="center" wrapText="1"/>
    </xf>
    <xf numFmtId="168" fontId="13" fillId="0" borderId="6" xfId="24" applyNumberFormat="1" applyFont="1" applyFill="1" applyBorder="1" applyAlignment="1">
      <alignment horizontal="right" vertical="center" wrapText="1"/>
    </xf>
    <xf numFmtId="168" fontId="9" fillId="0" borderId="1" xfId="24" applyNumberFormat="1" applyFont="1" applyFill="1" applyBorder="1" applyAlignment="1">
      <alignment horizontal="right"/>
    </xf>
    <xf numFmtId="168" fontId="10" fillId="0" borderId="1" xfId="24" applyNumberFormat="1" applyFont="1" applyFill="1" applyBorder="1" applyAlignment="1">
      <alignment horizontal="right"/>
    </xf>
    <xf numFmtId="167" fontId="13" fillId="0" borderId="6" xfId="24" applyNumberFormat="1" applyFont="1" applyFill="1" applyBorder="1" applyAlignment="1">
      <alignment horizontal="center" vertical="center"/>
    </xf>
    <xf numFmtId="0" fontId="9" fillId="0" borderId="5" xfId="3" applyFont="1" applyFill="1" applyBorder="1"/>
    <xf numFmtId="0" fontId="9" fillId="0" borderId="4" xfId="9" applyFont="1" applyFill="1" applyBorder="1"/>
    <xf numFmtId="0" fontId="9" fillId="0" borderId="4" xfId="3" applyFont="1" applyFill="1" applyBorder="1" applyAlignment="1">
      <alignment horizontal="center"/>
    </xf>
    <xf numFmtId="0" fontId="9" fillId="0" borderId="4" xfId="3" applyFont="1" applyFill="1" applyBorder="1" applyAlignment="1">
      <alignment horizontal="center" vertical="center"/>
    </xf>
    <xf numFmtId="168" fontId="12" fillId="0" borderId="59" xfId="3" applyNumberFormat="1" applyFont="1" applyFill="1" applyBorder="1" applyAlignment="1">
      <alignment horizontal="center" vertical="center" wrapText="1"/>
    </xf>
    <xf numFmtId="168" fontId="9" fillId="0" borderId="4" xfId="3" applyNumberFormat="1" applyFont="1" applyFill="1" applyBorder="1"/>
    <xf numFmtId="168" fontId="9" fillId="0" borderId="59" xfId="3" applyNumberFormat="1" applyFont="1" applyFill="1" applyBorder="1" applyAlignment="1">
      <alignment horizontal="right" vertical="center" wrapText="1"/>
    </xf>
    <xf numFmtId="174" fontId="8" fillId="0" borderId="59" xfId="24" applyNumberFormat="1" applyFont="1" applyFill="1" applyBorder="1" applyAlignment="1">
      <alignment horizontal="right" vertical="center" wrapText="1"/>
    </xf>
    <xf numFmtId="166" fontId="8" fillId="0" borderId="51" xfId="34" applyNumberFormat="1" applyFont="1" applyFill="1" applyBorder="1" applyAlignment="1">
      <alignment horizontal="right" vertical="center" wrapText="1"/>
    </xf>
    <xf numFmtId="168" fontId="9" fillId="0" borderId="4" xfId="24" applyNumberFormat="1" applyFont="1" applyFill="1" applyBorder="1" applyAlignment="1">
      <alignment horizontal="right"/>
    </xf>
    <xf numFmtId="168" fontId="9" fillId="0" borderId="3" xfId="24" applyNumberFormat="1" applyFont="1" applyFill="1" applyBorder="1" applyAlignment="1">
      <alignment horizontal="right"/>
    </xf>
    <xf numFmtId="172" fontId="48" fillId="0" borderId="66" xfId="5" applyNumberFormat="1" applyFont="1" applyFill="1" applyBorder="1" applyAlignment="1">
      <alignment horizontal="left" vertical="center" wrapText="1" indent="2"/>
    </xf>
    <xf numFmtId="49" fontId="48" fillId="0" borderId="66" xfId="0" applyNumberFormat="1" applyFont="1" applyFill="1" applyBorder="1" applyAlignment="1">
      <alignment horizontal="center" vertical="center" wrapText="1"/>
    </xf>
    <xf numFmtId="49" fontId="12" fillId="0" borderId="7" xfId="3" applyNumberFormat="1" applyFont="1" applyFill="1" applyBorder="1" applyAlignment="1">
      <alignment horizontal="center" vertical="center" wrapText="1"/>
    </xf>
    <xf numFmtId="0" fontId="9" fillId="0" borderId="1" xfId="9" applyFont="1" applyFill="1" applyBorder="1" applyAlignment="1">
      <alignment horizontal="left" vertical="center" wrapText="1"/>
    </xf>
    <xf numFmtId="0" fontId="9" fillId="0" borderId="1" xfId="9" applyNumberFormat="1" applyFont="1" applyFill="1" applyBorder="1" applyAlignment="1" applyProtection="1">
      <alignment horizontal="left" vertical="center" wrapText="1"/>
    </xf>
    <xf numFmtId="0" fontId="9" fillId="0" borderId="2" xfId="3" applyFont="1" applyFill="1" applyBorder="1" applyAlignment="1">
      <alignment horizontal="center" vertical="center"/>
    </xf>
    <xf numFmtId="0" fontId="11" fillId="0" borderId="57" xfId="3" applyFont="1" applyFill="1" applyBorder="1" applyAlignment="1">
      <alignment horizontal="center" vertical="center"/>
    </xf>
    <xf numFmtId="0" fontId="6" fillId="0" borderId="57" xfId="3" applyFont="1" applyFill="1" applyBorder="1"/>
    <xf numFmtId="168" fontId="13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9" fillId="0" borderId="23" xfId="40" applyFont="1" applyFill="1" applyBorder="1"/>
    <xf numFmtId="49" fontId="8" fillId="0" borderId="23" xfId="3" applyNumberFormat="1" applyFont="1" applyFill="1" applyBorder="1" applyAlignment="1">
      <alignment horizontal="center" vertical="center" wrapText="1"/>
    </xf>
    <xf numFmtId="0" fontId="8" fillId="0" borderId="23" xfId="3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0" fontId="81" fillId="0" borderId="1" xfId="0" applyFont="1" applyFill="1" applyBorder="1" applyAlignment="1">
      <alignment horizontal="left" vertical="center" wrapText="1"/>
    </xf>
    <xf numFmtId="49" fontId="82" fillId="0" borderId="1" xfId="5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72" fontId="55" fillId="0" borderId="1" xfId="5" applyNumberFormat="1" applyFont="1" applyFill="1" applyBorder="1" applyAlignment="1">
      <alignment horizontal="left" vertical="center" wrapText="1"/>
    </xf>
    <xf numFmtId="172" fontId="55" fillId="0" borderId="1" xfId="5" applyNumberFormat="1" applyFont="1" applyFill="1" applyBorder="1" applyAlignment="1">
      <alignment horizontal="left" vertical="center" wrapText="1" indent="2"/>
    </xf>
    <xf numFmtId="49" fontId="6" fillId="0" borderId="1" xfId="5" applyNumberFormat="1" applyFont="1" applyFill="1" applyBorder="1" applyAlignment="1">
      <alignment horizontal="center" vertical="center" wrapText="1"/>
    </xf>
    <xf numFmtId="0" fontId="19" fillId="0" borderId="1" xfId="40" applyFont="1" applyFill="1" applyBorder="1" applyAlignment="1">
      <alignment horizontal="left" vertical="center"/>
    </xf>
    <xf numFmtId="0" fontId="6" fillId="0" borderId="35" xfId="3" applyFont="1" applyFill="1" applyBorder="1"/>
    <xf numFmtId="49" fontId="8" fillId="9" borderId="1" xfId="3" applyNumberFormat="1" applyFont="1" applyFill="1" applyBorder="1" applyAlignment="1">
      <alignment horizontal="center" vertical="center" wrapText="1"/>
    </xf>
    <xf numFmtId="49" fontId="13" fillId="9" borderId="1" xfId="3" applyNumberFormat="1" applyFont="1" applyFill="1" applyBorder="1" applyAlignment="1">
      <alignment horizontal="center" vertical="center" wrapText="1"/>
    </xf>
    <xf numFmtId="49" fontId="13" fillId="9" borderId="2" xfId="3" applyNumberFormat="1" applyFont="1" applyFill="1" applyBorder="1" applyAlignment="1">
      <alignment horizontal="center" vertical="center" wrapText="1"/>
    </xf>
    <xf numFmtId="49" fontId="8" fillId="9" borderId="2" xfId="3" applyNumberFormat="1" applyFont="1" applyFill="1" applyBorder="1" applyAlignment="1">
      <alignment horizontal="center" vertical="center" wrapText="1"/>
    </xf>
    <xf numFmtId="49" fontId="48" fillId="9" borderId="1" xfId="5" applyNumberFormat="1" applyFont="1" applyFill="1" applyBorder="1" applyAlignment="1">
      <alignment horizontal="center" vertical="center" wrapText="1"/>
    </xf>
    <xf numFmtId="0" fontId="33" fillId="0" borderId="0" xfId="7" applyFont="1" applyFill="1" applyAlignment="1">
      <alignment horizontal="right"/>
    </xf>
    <xf numFmtId="0" fontId="29" fillId="0" borderId="0" xfId="9" applyFont="1" applyFill="1" applyAlignment="1">
      <alignment horizontal="right" vertical="center"/>
    </xf>
    <xf numFmtId="49" fontId="8" fillId="0" borderId="23" xfId="0" applyNumberFormat="1" applyFont="1" applyFill="1" applyBorder="1" applyAlignment="1">
      <alignment horizontal="center" vertical="center" wrapText="1"/>
    </xf>
    <xf numFmtId="49" fontId="68" fillId="0" borderId="23" xfId="0" applyNumberFormat="1" applyFont="1" applyFill="1" applyBorder="1" applyAlignment="1">
      <alignment horizontal="center" vertical="center" wrapText="1"/>
    </xf>
    <xf numFmtId="0" fontId="9" fillId="0" borderId="18" xfId="0" applyFont="1" applyFill="1" applyBorder="1"/>
    <xf numFmtId="168" fontId="15" fillId="0" borderId="6" xfId="5" applyNumberFormat="1" applyFont="1" applyFill="1" applyBorder="1" applyAlignment="1">
      <alignment horizontal="right" vertical="center" wrapText="1"/>
    </xf>
    <xf numFmtId="49" fontId="48" fillId="0" borderId="23" xfId="14" applyNumberFormat="1" applyFont="1" applyFill="1" applyBorder="1" applyAlignment="1">
      <alignment horizontal="center" vertical="center" wrapText="1"/>
    </xf>
    <xf numFmtId="0" fontId="77" fillId="0" borderId="1" xfId="0" applyFont="1" applyFill="1" applyBorder="1" applyAlignment="1">
      <alignment horizontal="left" vertical="center" wrapText="1"/>
    </xf>
    <xf numFmtId="0" fontId="78" fillId="0" borderId="1" xfId="0" applyFont="1" applyFill="1" applyBorder="1" applyAlignment="1">
      <alignment horizontal="left" vertical="center" wrapText="1"/>
    </xf>
    <xf numFmtId="49" fontId="75" fillId="0" borderId="1" xfId="5" applyNumberFormat="1" applyFont="1" applyFill="1" applyBorder="1" applyAlignment="1">
      <alignment horizontal="center" vertical="center" wrapText="1"/>
    </xf>
    <xf numFmtId="0" fontId="68" fillId="0" borderId="1" xfId="0" applyFont="1" applyFill="1" applyBorder="1" applyAlignment="1">
      <alignment vertical="center" wrapText="1"/>
    </xf>
    <xf numFmtId="166" fontId="48" fillId="0" borderId="57" xfId="5" applyNumberFormat="1" applyFont="1" applyFill="1" applyBorder="1" applyAlignment="1">
      <alignment vertical="center" wrapText="1"/>
    </xf>
    <xf numFmtId="0" fontId="68" fillId="0" borderId="57" xfId="14" applyFont="1" applyFill="1" applyBorder="1" applyAlignment="1">
      <alignment horizontal="center" vertical="center"/>
    </xf>
    <xf numFmtId="166" fontId="48" fillId="0" borderId="57" xfId="5" applyNumberFormat="1" applyFont="1" applyFill="1" applyBorder="1" applyAlignment="1">
      <alignment horizontal="left" vertical="center" wrapText="1"/>
    </xf>
    <xf numFmtId="0" fontId="33" fillId="0" borderId="0" xfId="7" applyFont="1" applyFill="1" applyAlignment="1">
      <alignment horizontal="left"/>
    </xf>
    <xf numFmtId="168" fontId="9" fillId="0" borderId="1" xfId="3" applyNumberFormat="1" applyFont="1" applyBorder="1" applyAlignment="1">
      <alignment horizontal="center" vertical="center"/>
    </xf>
    <xf numFmtId="168" fontId="9" fillId="0" borderId="2" xfId="3" applyNumberFormat="1" applyFont="1" applyBorder="1"/>
    <xf numFmtId="0" fontId="8" fillId="0" borderId="1" xfId="0" applyFont="1" applyFill="1" applyBorder="1" applyAlignment="1">
      <alignment horizontal="left" vertical="center" wrapText="1"/>
    </xf>
    <xf numFmtId="0" fontId="29" fillId="0" borderId="52" xfId="0" applyFont="1" applyFill="1" applyBorder="1" applyAlignment="1">
      <alignment horizontal="right" vertical="distributed"/>
    </xf>
    <xf numFmtId="172" fontId="9" fillId="0" borderId="1" xfId="5" applyNumberFormat="1" applyFont="1" applyFill="1" applyBorder="1" applyAlignment="1">
      <alignment horizontal="left" vertical="center" wrapText="1" indent="2"/>
    </xf>
    <xf numFmtId="167" fontId="93" fillId="0" borderId="7" xfId="34" applyNumberFormat="1" applyFont="1" applyFill="1" applyBorder="1" applyAlignment="1">
      <alignment horizontal="right" vertical="center" wrapText="1"/>
    </xf>
    <xf numFmtId="167" fontId="93" fillId="0" borderId="1" xfId="34" applyNumberFormat="1" applyFont="1" applyFill="1" applyBorder="1" applyAlignment="1">
      <alignment horizontal="right" vertical="center" wrapText="1"/>
    </xf>
    <xf numFmtId="169" fontId="23" fillId="0" borderId="68" xfId="0" applyNumberFormat="1" applyFont="1" applyFill="1" applyBorder="1" applyAlignment="1">
      <alignment horizontal="center" vertical="top" wrapText="1"/>
    </xf>
    <xf numFmtId="167" fontId="13" fillId="0" borderId="13" xfId="34" applyNumberFormat="1" applyFont="1" applyFill="1" applyBorder="1" applyAlignment="1">
      <alignment horizontal="center" vertical="center"/>
    </xf>
    <xf numFmtId="167" fontId="8" fillId="0" borderId="13" xfId="34" applyNumberFormat="1" applyFont="1" applyFill="1" applyBorder="1" applyAlignment="1">
      <alignment vertical="center" wrapText="1"/>
    </xf>
    <xf numFmtId="167" fontId="8" fillId="0" borderId="14" xfId="34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166" fontId="13" fillId="0" borderId="14" xfId="34" applyNumberFormat="1" applyFont="1" applyFill="1" applyBorder="1" applyAlignment="1">
      <alignment horizontal="right" vertical="center" wrapText="1"/>
    </xf>
    <xf numFmtId="168" fontId="13" fillId="0" borderId="14" xfId="3" applyNumberFormat="1" applyFont="1" applyFill="1" applyBorder="1" applyAlignment="1">
      <alignment vertical="center" wrapText="1"/>
    </xf>
    <xf numFmtId="0" fontId="6" fillId="0" borderId="14" xfId="3" applyFont="1" applyFill="1" applyBorder="1"/>
    <xf numFmtId="166" fontId="10" fillId="0" borderId="14" xfId="34" applyNumberFormat="1" applyFont="1" applyFill="1" applyBorder="1" applyAlignment="1">
      <alignment horizontal="right" vertical="center" wrapText="1"/>
    </xf>
    <xf numFmtId="166" fontId="9" fillId="0" borderId="14" xfId="34" applyNumberFormat="1" applyFont="1" applyFill="1" applyBorder="1" applyAlignment="1">
      <alignment horizontal="right" vertical="center" wrapText="1"/>
    </xf>
    <xf numFmtId="167" fontId="9" fillId="0" borderId="14" xfId="34" applyNumberFormat="1" applyFont="1" applyFill="1" applyBorder="1" applyAlignment="1">
      <alignment horizontal="right" vertical="center" wrapText="1"/>
    </xf>
    <xf numFmtId="174" fontId="8" fillId="0" borderId="13" xfId="24" applyNumberFormat="1" applyFont="1" applyFill="1" applyBorder="1" applyAlignment="1">
      <alignment horizontal="right" vertical="center" wrapText="1"/>
    </xf>
    <xf numFmtId="168" fontId="13" fillId="0" borderId="16" xfId="3" applyNumberFormat="1" applyFont="1" applyFill="1" applyBorder="1" applyAlignment="1">
      <alignment vertical="center" wrapText="1"/>
    </xf>
    <xf numFmtId="0" fontId="17" fillId="0" borderId="14" xfId="37" applyFont="1" applyFill="1" applyBorder="1" applyAlignment="1">
      <alignment horizontal="left" vertical="center" wrapText="1"/>
    </xf>
    <xf numFmtId="166" fontId="13" fillId="0" borderId="30" xfId="34" applyNumberFormat="1" applyFont="1" applyFill="1" applyBorder="1" applyAlignment="1">
      <alignment horizontal="right" vertical="center" wrapText="1"/>
    </xf>
    <xf numFmtId="167" fontId="13" fillId="0" borderId="14" xfId="34" applyNumberFormat="1" applyFont="1" applyFill="1" applyBorder="1" applyAlignment="1">
      <alignment vertical="center" wrapText="1"/>
    </xf>
    <xf numFmtId="167" fontId="13" fillId="0" borderId="14" xfId="34" applyNumberFormat="1" applyFont="1" applyFill="1" applyBorder="1" applyAlignment="1">
      <alignment horizontal="right" vertical="center" wrapText="1"/>
    </xf>
    <xf numFmtId="0" fontId="6" fillId="0" borderId="30" xfId="3" applyFont="1" applyFill="1" applyBorder="1"/>
    <xf numFmtId="166" fontId="18" fillId="0" borderId="14" xfId="3" applyNumberFormat="1" applyFont="1" applyFill="1" applyBorder="1" applyAlignment="1">
      <alignment vertical="center"/>
    </xf>
    <xf numFmtId="167" fontId="6" fillId="0" borderId="14" xfId="34" applyNumberFormat="1" applyFont="1" applyFill="1" applyBorder="1" applyAlignment="1">
      <alignment vertical="center"/>
    </xf>
    <xf numFmtId="166" fontId="9" fillId="0" borderId="14" xfId="34" applyNumberFormat="1" applyFont="1" applyFill="1" applyBorder="1" applyAlignment="1">
      <alignment vertical="center"/>
    </xf>
    <xf numFmtId="166" fontId="9" fillId="0" borderId="14" xfId="34" applyNumberFormat="1" applyFont="1" applyFill="1" applyBorder="1" applyAlignment="1">
      <alignment horizontal="left" vertical="center" wrapText="1"/>
    </xf>
    <xf numFmtId="168" fontId="9" fillId="0" borderId="13" xfId="3" applyNumberFormat="1" applyFont="1" applyFill="1" applyBorder="1" applyAlignment="1">
      <alignment horizontal="right" vertical="center" wrapText="1"/>
    </xf>
    <xf numFmtId="168" fontId="9" fillId="0" borderId="10" xfId="3" applyNumberFormat="1" applyFont="1" applyFill="1" applyBorder="1" applyAlignment="1">
      <alignment horizontal="right" vertical="center" wrapText="1"/>
    </xf>
    <xf numFmtId="168" fontId="6" fillId="0" borderId="13" xfId="3" applyNumberFormat="1" applyFont="1" applyFill="1" applyBorder="1"/>
    <xf numFmtId="168" fontId="8" fillId="0" borderId="10" xfId="3" applyNumberFormat="1" applyFont="1" applyFill="1" applyBorder="1" applyAlignment="1">
      <alignment horizontal="right" vertical="center" wrapText="1"/>
    </xf>
    <xf numFmtId="168" fontId="9" fillId="0" borderId="14" xfId="3" applyNumberFormat="1" applyFont="1" applyFill="1" applyBorder="1" applyAlignment="1">
      <alignment horizontal="right" vertical="center"/>
    </xf>
    <xf numFmtId="166" fontId="11" fillId="0" borderId="30" xfId="34" applyNumberFormat="1" applyFont="1" applyFill="1" applyBorder="1" applyAlignment="1">
      <alignment horizontal="right"/>
    </xf>
    <xf numFmtId="166" fontId="6" fillId="0" borderId="14" xfId="34" applyNumberFormat="1" applyFont="1" applyFill="1" applyBorder="1" applyAlignment="1">
      <alignment horizontal="right"/>
    </xf>
    <xf numFmtId="174" fontId="8" fillId="0" borderId="14" xfId="24" applyNumberFormat="1" applyFont="1" applyFill="1" applyBorder="1" applyAlignment="1">
      <alignment horizontal="right" vertical="center" wrapText="1"/>
    </xf>
    <xf numFmtId="174" fontId="8" fillId="0" borderId="10" xfId="24" applyNumberFormat="1" applyFont="1" applyFill="1" applyBorder="1" applyAlignment="1">
      <alignment horizontal="right" vertical="center" wrapText="1"/>
    </xf>
    <xf numFmtId="166" fontId="13" fillId="0" borderId="69" xfId="34" applyNumberFormat="1" applyFont="1" applyFill="1" applyBorder="1" applyAlignment="1">
      <alignment horizontal="center" vertical="center"/>
    </xf>
    <xf numFmtId="168" fontId="13" fillId="0" borderId="19" xfId="34" applyNumberFormat="1" applyFont="1" applyFill="1" applyBorder="1" applyAlignment="1">
      <alignment horizontal="right" vertical="center"/>
    </xf>
    <xf numFmtId="167" fontId="13" fillId="0" borderId="19" xfId="34" applyNumberFormat="1" applyFont="1" applyFill="1" applyBorder="1" applyAlignment="1">
      <alignment horizontal="center" vertical="center"/>
    </xf>
    <xf numFmtId="167" fontId="13" fillId="0" borderId="19" xfId="34" applyNumberFormat="1" applyFont="1" applyFill="1" applyBorder="1" applyAlignment="1">
      <alignment vertical="center" wrapText="1"/>
    </xf>
    <xf numFmtId="167" fontId="8" fillId="0" borderId="19" xfId="34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6" fontId="8" fillId="0" borderId="19" xfId="34" applyNumberFormat="1" applyFont="1" applyFill="1" applyBorder="1" applyAlignment="1">
      <alignment horizontal="right" vertical="center" wrapText="1"/>
    </xf>
    <xf numFmtId="166" fontId="13" fillId="0" borderId="19" xfId="34" applyNumberFormat="1" applyFont="1" applyFill="1" applyBorder="1" applyAlignment="1">
      <alignment horizontal="right" vertical="center" wrapText="1"/>
    </xf>
    <xf numFmtId="168" fontId="13" fillId="0" borderId="19" xfId="3" applyNumberFormat="1" applyFont="1" applyFill="1" applyBorder="1" applyAlignment="1">
      <alignment vertical="center" wrapText="1"/>
    </xf>
    <xf numFmtId="49" fontId="13" fillId="0" borderId="19" xfId="3" applyNumberFormat="1" applyFont="1" applyFill="1" applyBorder="1" applyAlignment="1">
      <alignment vertical="center" wrapText="1"/>
    </xf>
    <xf numFmtId="166" fontId="10" fillId="0" borderId="19" xfId="34" applyNumberFormat="1" applyFont="1" applyFill="1" applyBorder="1" applyAlignment="1">
      <alignment horizontal="right" vertical="center" wrapText="1"/>
    </xf>
    <xf numFmtId="166" fontId="9" fillId="0" borderId="19" xfId="34" applyNumberFormat="1" applyFont="1" applyFill="1" applyBorder="1" applyAlignment="1">
      <alignment horizontal="right" vertical="center" wrapText="1"/>
    </xf>
    <xf numFmtId="167" fontId="9" fillId="0" borderId="19" xfId="34" applyNumberFormat="1" applyFont="1" applyFill="1" applyBorder="1" applyAlignment="1">
      <alignment horizontal="right" vertical="center" wrapText="1"/>
    </xf>
    <xf numFmtId="167" fontId="93" fillId="0" borderId="19" xfId="34" applyNumberFormat="1" applyFont="1" applyFill="1" applyBorder="1" applyAlignment="1">
      <alignment horizontal="right" vertical="center" wrapText="1"/>
    </xf>
    <xf numFmtId="168" fontId="13" fillId="0" borderId="70" xfId="3" applyNumberFormat="1" applyFont="1" applyFill="1" applyBorder="1" applyAlignment="1">
      <alignment vertical="center" wrapText="1"/>
    </xf>
    <xf numFmtId="167" fontId="9" fillId="0" borderId="19" xfId="37" applyNumberFormat="1" applyFont="1" applyFill="1" applyBorder="1" applyAlignment="1">
      <alignment horizontal="left" vertical="center" wrapText="1"/>
    </xf>
    <xf numFmtId="167" fontId="8" fillId="0" borderId="71" xfId="34" applyNumberFormat="1" applyFont="1" applyFill="1" applyBorder="1" applyAlignment="1">
      <alignment horizontal="right" vertical="center" wrapText="1"/>
    </xf>
    <xf numFmtId="168" fontId="8" fillId="0" borderId="19" xfId="3" applyNumberFormat="1" applyFont="1" applyFill="1" applyBorder="1" applyAlignment="1">
      <alignment vertical="center" wrapText="1"/>
    </xf>
    <xf numFmtId="168" fontId="8" fillId="0" borderId="19" xfId="38" applyNumberFormat="1" applyFont="1" applyFill="1" applyBorder="1" applyAlignment="1">
      <alignment horizontal="right" vertical="center" wrapText="1"/>
    </xf>
    <xf numFmtId="167" fontId="13" fillId="0" borderId="19" xfId="34" applyNumberFormat="1" applyFont="1" applyFill="1" applyBorder="1" applyAlignment="1">
      <alignment horizontal="right" vertical="center" wrapText="1"/>
    </xf>
    <xf numFmtId="168" fontId="13" fillId="0" borderId="19" xfId="0" applyNumberFormat="1" applyFont="1" applyFill="1" applyBorder="1" applyAlignment="1">
      <alignment horizontal="right" vertical="center" wrapText="1"/>
    </xf>
    <xf numFmtId="168" fontId="8" fillId="0" borderId="19" xfId="0" applyNumberFormat="1" applyFont="1" applyFill="1" applyBorder="1" applyAlignment="1">
      <alignment horizontal="right" vertical="center" wrapText="1"/>
    </xf>
    <xf numFmtId="49" fontId="8" fillId="0" borderId="19" xfId="3" applyNumberFormat="1" applyFont="1" applyFill="1" applyBorder="1" applyAlignment="1">
      <alignment vertical="center" wrapText="1"/>
    </xf>
    <xf numFmtId="168" fontId="13" fillId="0" borderId="19" xfId="34" applyNumberFormat="1" applyFont="1" applyFill="1" applyBorder="1" applyAlignment="1" applyProtection="1">
      <alignment horizontal="right" vertical="center" wrapText="1"/>
      <protection locked="0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9" fillId="0" borderId="19" xfId="34" applyNumberFormat="1" applyFont="1" applyFill="1" applyBorder="1" applyAlignment="1">
      <alignment horizontal="right" vertical="center" wrapText="1"/>
    </xf>
    <xf numFmtId="167" fontId="9" fillId="0" borderId="19" xfId="1" applyNumberFormat="1" applyFont="1" applyFill="1" applyBorder="1" applyAlignment="1">
      <alignment horizontal="right" vertical="center" wrapText="1"/>
    </xf>
    <xf numFmtId="166" fontId="9" fillId="0" borderId="19" xfId="3" applyNumberFormat="1" applyFont="1" applyFill="1" applyBorder="1"/>
    <xf numFmtId="168" fontId="13" fillId="0" borderId="19" xfId="34" applyNumberFormat="1" applyFont="1" applyFill="1" applyBorder="1" applyAlignment="1">
      <alignment horizontal="right" vertical="center" wrapText="1"/>
    </xf>
    <xf numFmtId="168" fontId="8" fillId="0" borderId="71" xfId="3" applyNumberFormat="1" applyFont="1" applyFill="1" applyBorder="1" applyAlignment="1">
      <alignment horizontal="right" vertical="center" wrapText="1"/>
    </xf>
    <xf numFmtId="166" fontId="9" fillId="0" borderId="19" xfId="24" applyNumberFormat="1" applyFont="1" applyFill="1" applyBorder="1" applyAlignment="1">
      <alignment horizontal="right"/>
    </xf>
    <xf numFmtId="0" fontId="16" fillId="0" borderId="72" xfId="3" applyFont="1" applyFill="1" applyBorder="1"/>
    <xf numFmtId="0" fontId="6" fillId="0" borderId="72" xfId="3" applyFont="1" applyFill="1" applyBorder="1"/>
    <xf numFmtId="168" fontId="9" fillId="0" borderId="19" xfId="3" applyNumberFormat="1" applyFont="1" applyFill="1" applyBorder="1" applyAlignment="1">
      <alignment horizontal="right" vertical="center" wrapText="1"/>
    </xf>
    <xf numFmtId="168" fontId="10" fillId="0" borderId="19" xfId="3" applyNumberFormat="1" applyFont="1" applyFill="1" applyBorder="1" applyAlignment="1">
      <alignment horizontal="right" vertical="center" wrapText="1"/>
    </xf>
    <xf numFmtId="167" fontId="8" fillId="0" borderId="19" xfId="34" applyNumberFormat="1" applyFont="1" applyFill="1" applyBorder="1" applyAlignment="1">
      <alignment vertical="center" wrapText="1"/>
    </xf>
    <xf numFmtId="167" fontId="13" fillId="0" borderId="71" xfId="34" applyNumberFormat="1" applyFont="1" applyFill="1" applyBorder="1" applyAlignment="1">
      <alignment vertical="center" wrapText="1"/>
    </xf>
    <xf numFmtId="167" fontId="8" fillId="0" borderId="71" xfId="34" applyNumberFormat="1" applyFont="1" applyFill="1" applyBorder="1" applyAlignment="1">
      <alignment vertical="center" wrapText="1"/>
    </xf>
    <xf numFmtId="168" fontId="10" fillId="0" borderId="71" xfId="3" applyNumberFormat="1" applyFont="1" applyFill="1" applyBorder="1" applyAlignment="1">
      <alignment horizontal="right" vertical="center" wrapText="1"/>
    </xf>
    <xf numFmtId="166" fontId="10" fillId="0" borderId="19" xfId="34" applyNumberFormat="1" applyFont="1" applyFill="1" applyBorder="1" applyAlignment="1">
      <alignment horizontal="right"/>
    </xf>
    <xf numFmtId="166" fontId="9" fillId="0" borderId="19" xfId="34" applyNumberFormat="1" applyFont="1" applyFill="1" applyBorder="1" applyAlignment="1">
      <alignment horizontal="right"/>
    </xf>
    <xf numFmtId="166" fontId="13" fillId="0" borderId="71" xfId="34" applyNumberFormat="1" applyFont="1" applyFill="1" applyBorder="1" applyAlignment="1">
      <alignment horizontal="right" vertical="center" wrapText="1"/>
    </xf>
    <xf numFmtId="166" fontId="8" fillId="0" borderId="71" xfId="34" applyNumberFormat="1" applyFont="1" applyFill="1" applyBorder="1" applyAlignment="1">
      <alignment horizontal="right" vertical="center" wrapText="1"/>
    </xf>
    <xf numFmtId="166" fontId="10" fillId="0" borderId="71" xfId="34" applyNumberFormat="1" applyFont="1" applyFill="1" applyBorder="1" applyAlignment="1">
      <alignment horizontal="right"/>
    </xf>
    <xf numFmtId="167" fontId="13" fillId="0" borderId="71" xfId="34" applyNumberFormat="1" applyFont="1" applyFill="1" applyBorder="1" applyAlignment="1">
      <alignment horizontal="right" vertical="center" wrapText="1"/>
    </xf>
    <xf numFmtId="167" fontId="8" fillId="0" borderId="66" xfId="34" applyNumberFormat="1" applyFont="1" applyFill="1" applyBorder="1" applyAlignment="1">
      <alignment horizontal="right" vertical="center" wrapText="1"/>
    </xf>
    <xf numFmtId="166" fontId="13" fillId="0" borderId="68" xfId="34" applyNumberFormat="1" applyFont="1" applyFill="1" applyBorder="1" applyAlignment="1">
      <alignment horizontal="center" vertical="center"/>
    </xf>
    <xf numFmtId="168" fontId="13" fillId="0" borderId="13" xfId="34" applyNumberFormat="1" applyFont="1" applyFill="1" applyBorder="1" applyAlignment="1">
      <alignment horizontal="right" vertical="center"/>
    </xf>
    <xf numFmtId="167" fontId="13" fillId="0" borderId="13" xfId="34" applyNumberFormat="1" applyFont="1" applyFill="1" applyBorder="1" applyAlignment="1">
      <alignment vertical="center" wrapText="1"/>
    </xf>
    <xf numFmtId="49" fontId="13" fillId="0" borderId="14" xfId="3" applyNumberFormat="1" applyFont="1" applyFill="1" applyBorder="1" applyAlignment="1">
      <alignment vertical="center" wrapText="1"/>
    </xf>
    <xf numFmtId="167" fontId="93" fillId="0" borderId="14" xfId="34" applyNumberFormat="1" applyFont="1" applyFill="1" applyBorder="1" applyAlignment="1">
      <alignment horizontal="right" vertical="center" wrapText="1"/>
    </xf>
    <xf numFmtId="167" fontId="9" fillId="0" borderId="14" xfId="37" applyNumberFormat="1" applyFont="1" applyFill="1" applyBorder="1" applyAlignment="1">
      <alignment horizontal="left" vertical="center" wrapText="1"/>
    </xf>
    <xf numFmtId="167" fontId="8" fillId="0" borderId="30" xfId="34" applyNumberFormat="1" applyFont="1" applyFill="1" applyBorder="1" applyAlignment="1">
      <alignment horizontal="right" vertical="center" wrapText="1"/>
    </xf>
    <xf numFmtId="168" fontId="8" fillId="0" borderId="14" xfId="38" applyNumberFormat="1" applyFont="1" applyFill="1" applyBorder="1" applyAlignment="1">
      <alignment horizontal="right" vertical="center" wrapText="1"/>
    </xf>
    <xf numFmtId="168" fontId="13" fillId="0" borderId="14" xfId="0" applyNumberFormat="1" applyFont="1" applyFill="1" applyBorder="1" applyAlignment="1">
      <alignment horizontal="right" vertical="center" wrapText="1"/>
    </xf>
    <xf numFmtId="168" fontId="8" fillId="0" borderId="14" xfId="0" applyNumberFormat="1" applyFont="1" applyFill="1" applyBorder="1" applyAlignment="1">
      <alignment horizontal="right" vertical="center" wrapText="1"/>
    </xf>
    <xf numFmtId="49" fontId="8" fillId="0" borderId="14" xfId="3" applyNumberFormat="1" applyFont="1" applyFill="1" applyBorder="1" applyAlignment="1">
      <alignment vertical="center" wrapText="1"/>
    </xf>
    <xf numFmtId="168" fontId="13" fillId="0" borderId="14" xfId="34" applyNumberFormat="1" applyFont="1" applyFill="1" applyBorder="1" applyAlignment="1" applyProtection="1">
      <alignment horizontal="right" vertical="center" wrapText="1"/>
      <protection locked="0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9" fillId="0" borderId="14" xfId="34" applyNumberFormat="1" applyFont="1" applyFill="1" applyBorder="1" applyAlignment="1">
      <alignment horizontal="right" vertical="center" wrapText="1"/>
    </xf>
    <xf numFmtId="167" fontId="9" fillId="0" borderId="14" xfId="1" applyNumberFormat="1" applyFont="1" applyFill="1" applyBorder="1" applyAlignment="1">
      <alignment horizontal="right" vertical="center" wrapText="1"/>
    </xf>
    <xf numFmtId="168" fontId="93" fillId="0" borderId="14" xfId="34" applyNumberFormat="1" applyFont="1" applyFill="1" applyBorder="1" applyAlignment="1">
      <alignment horizontal="right" vertical="center" wrapText="1"/>
    </xf>
    <xf numFmtId="166" fontId="9" fillId="0" borderId="14" xfId="3" applyNumberFormat="1" applyFont="1" applyFill="1" applyBorder="1"/>
    <xf numFmtId="168" fontId="13" fillId="0" borderId="14" xfId="34" applyNumberFormat="1" applyFont="1" applyFill="1" applyBorder="1" applyAlignment="1">
      <alignment horizontal="right" vertical="center" wrapText="1"/>
    </xf>
    <xf numFmtId="166" fontId="9" fillId="0" borderId="14" xfId="24" applyNumberFormat="1" applyFont="1" applyFill="1" applyBorder="1" applyAlignment="1">
      <alignment horizontal="right"/>
    </xf>
    <xf numFmtId="168" fontId="10" fillId="0" borderId="13" xfId="3" applyNumberFormat="1" applyFont="1" applyFill="1" applyBorder="1" applyAlignment="1">
      <alignment horizontal="right" vertical="center" wrapText="1"/>
    </xf>
    <xf numFmtId="167" fontId="8" fillId="0" borderId="14" xfId="34" applyNumberFormat="1" applyFont="1" applyFill="1" applyBorder="1" applyAlignment="1">
      <alignment vertical="center" wrapText="1"/>
    </xf>
    <xf numFmtId="167" fontId="13" fillId="0" borderId="10" xfId="34" applyNumberFormat="1" applyFont="1" applyFill="1" applyBorder="1" applyAlignment="1">
      <alignment vertical="center" wrapText="1"/>
    </xf>
    <xf numFmtId="167" fontId="8" fillId="0" borderId="10" xfId="34" applyNumberFormat="1" applyFont="1" applyFill="1" applyBorder="1" applyAlignment="1">
      <alignment vertical="center" wrapText="1"/>
    </xf>
    <xf numFmtId="168" fontId="10" fillId="0" borderId="10" xfId="3" applyNumberFormat="1" applyFont="1" applyFill="1" applyBorder="1" applyAlignment="1">
      <alignment horizontal="right" vertical="center" wrapText="1"/>
    </xf>
    <xf numFmtId="166" fontId="10" fillId="0" borderId="14" xfId="34" applyNumberFormat="1" applyFont="1" applyFill="1" applyBorder="1" applyAlignment="1">
      <alignment horizontal="right"/>
    </xf>
    <xf numFmtId="166" fontId="9" fillId="0" borderId="14" xfId="34" applyNumberFormat="1" applyFont="1" applyFill="1" applyBorder="1" applyAlignment="1">
      <alignment horizontal="right"/>
    </xf>
    <xf numFmtId="166" fontId="8" fillId="0" borderId="30" xfId="34" applyNumberFormat="1" applyFont="1" applyFill="1" applyBorder="1" applyAlignment="1">
      <alignment horizontal="right" vertical="center" wrapText="1"/>
    </xf>
    <xf numFmtId="166" fontId="10" fillId="0" borderId="30" xfId="34" applyNumberFormat="1" applyFont="1" applyFill="1" applyBorder="1" applyAlignment="1">
      <alignment horizontal="right"/>
    </xf>
    <xf numFmtId="167" fontId="13" fillId="0" borderId="30" xfId="34" applyNumberFormat="1" applyFont="1" applyFill="1" applyBorder="1" applyAlignment="1">
      <alignment horizontal="right" vertical="center" wrapText="1"/>
    </xf>
    <xf numFmtId="168" fontId="93" fillId="0" borderId="19" xfId="34" applyNumberFormat="1" applyFont="1" applyFill="1" applyBorder="1" applyAlignment="1">
      <alignment horizontal="right" vertical="center" wrapText="1"/>
    </xf>
    <xf numFmtId="168" fontId="95" fillId="0" borderId="9" xfId="5" applyNumberFormat="1" applyFont="1" applyFill="1" applyBorder="1" applyAlignment="1">
      <alignment horizontal="right" vertical="center" wrapText="1"/>
    </xf>
    <xf numFmtId="168" fontId="96" fillId="0" borderId="7" xfId="5" applyNumberFormat="1" applyFont="1" applyFill="1" applyBorder="1" applyAlignment="1">
      <alignment horizontal="right" vertical="center" wrapText="1"/>
    </xf>
    <xf numFmtId="168" fontId="96" fillId="0" borderId="9" xfId="5" applyNumberFormat="1" applyFont="1" applyFill="1" applyBorder="1" applyAlignment="1">
      <alignment horizontal="right" vertical="center" wrapText="1"/>
    </xf>
    <xf numFmtId="0" fontId="97" fillId="0" borderId="0" xfId="3" applyFont="1" applyFill="1"/>
    <xf numFmtId="49" fontId="47" fillId="0" borderId="73" xfId="5" applyNumberFormat="1" applyFont="1" applyFill="1" applyBorder="1" applyAlignment="1">
      <alignment horizontal="center" vertical="center" wrapText="1"/>
    </xf>
    <xf numFmtId="49" fontId="10" fillId="0" borderId="58" xfId="5" applyNumberFormat="1" applyFont="1" applyFill="1" applyBorder="1" applyAlignment="1">
      <alignment horizontal="center" vertical="center" wrapText="1"/>
    </xf>
    <xf numFmtId="49" fontId="47" fillId="0" borderId="30" xfId="5" applyNumberFormat="1" applyFont="1" applyFill="1" applyBorder="1" applyAlignment="1">
      <alignment horizontal="center" vertical="center" wrapText="1"/>
    </xf>
    <xf numFmtId="49" fontId="47" fillId="0" borderId="14" xfId="5" applyNumberFormat="1" applyFont="1" applyFill="1" applyBorder="1" applyAlignment="1">
      <alignment horizontal="center" vertical="center" wrapText="1"/>
    </xf>
    <xf numFmtId="49" fontId="48" fillId="0" borderId="14" xfId="5" applyNumberFormat="1" applyFont="1" applyFill="1" applyBorder="1" applyAlignment="1">
      <alignment horizontal="center" vertical="center" wrapText="1"/>
    </xf>
    <xf numFmtId="49" fontId="48" fillId="0" borderId="65" xfId="5" applyNumberFormat="1" applyFont="1" applyFill="1" applyBorder="1" applyAlignment="1">
      <alignment horizontal="center" vertical="center" wrapText="1"/>
    </xf>
    <xf numFmtId="49" fontId="48" fillId="0" borderId="14" xfId="14" applyNumberFormat="1" applyFont="1" applyFill="1" applyBorder="1" applyAlignment="1">
      <alignment horizontal="center" vertical="center" wrapText="1"/>
    </xf>
    <xf numFmtId="49" fontId="47" fillId="0" borderId="14" xfId="12" applyNumberFormat="1" applyFont="1" applyFill="1" applyBorder="1" applyAlignment="1" applyProtection="1">
      <alignment horizontal="center" vertical="center" wrapText="1"/>
    </xf>
    <xf numFmtId="49" fontId="48" fillId="0" borderId="14" xfId="12" applyNumberFormat="1" applyFont="1" applyFill="1" applyBorder="1" applyAlignment="1" applyProtection="1">
      <alignment horizontal="center" vertical="center" wrapText="1"/>
    </xf>
    <xf numFmtId="49" fontId="11" fillId="0" borderId="14" xfId="5" applyNumberFormat="1" applyFont="1" applyFill="1" applyBorder="1" applyAlignment="1">
      <alignment horizontal="center" vertical="center" wrapText="1"/>
    </xf>
    <xf numFmtId="49" fontId="82" fillId="0" borderId="14" xfId="5" applyNumberFormat="1" applyFont="1" applyFill="1" applyBorder="1" applyAlignment="1">
      <alignment horizontal="center" vertical="center" wrapText="1"/>
    </xf>
    <xf numFmtId="49" fontId="6" fillId="0" borderId="14" xfId="0" applyNumberFormat="1" applyFont="1" applyFill="1" applyBorder="1" applyAlignment="1">
      <alignment horizontal="center" vertical="center" wrapText="1"/>
    </xf>
    <xf numFmtId="49" fontId="48" fillId="0" borderId="14" xfId="0" applyNumberFormat="1" applyFont="1" applyFill="1" applyBorder="1" applyAlignment="1">
      <alignment horizontal="center" vertical="center" wrapText="1"/>
    </xf>
    <xf numFmtId="49" fontId="48" fillId="0" borderId="50" xfId="5" applyNumberFormat="1" applyFont="1" applyFill="1" applyBorder="1" applyAlignment="1">
      <alignment horizontal="center" vertical="center" wrapText="1"/>
    </xf>
    <xf numFmtId="49" fontId="48" fillId="0" borderId="74" xfId="5" applyNumberFormat="1" applyFont="1" applyFill="1" applyBorder="1" applyAlignment="1">
      <alignment horizontal="center" vertical="center" wrapText="1"/>
    </xf>
    <xf numFmtId="168" fontId="47" fillId="0" borderId="67" xfId="5" applyNumberFormat="1" applyFont="1" applyFill="1" applyBorder="1" applyAlignment="1">
      <alignment horizontal="center" vertical="center" wrapText="1"/>
    </xf>
    <xf numFmtId="168" fontId="74" fillId="0" borderId="72" xfId="5" applyNumberFormat="1" applyFont="1" applyFill="1" applyBorder="1" applyAlignment="1">
      <alignment horizontal="right" vertical="center" wrapText="1"/>
    </xf>
    <xf numFmtId="168" fontId="74" fillId="0" borderId="67" xfId="5" applyNumberFormat="1" applyFont="1" applyFill="1" applyBorder="1" applyAlignment="1">
      <alignment horizontal="right" vertical="center" wrapText="1"/>
    </xf>
    <xf numFmtId="168" fontId="74" fillId="0" borderId="71" xfId="5" applyNumberFormat="1" applyFont="1" applyFill="1" applyBorder="1" applyAlignment="1">
      <alignment horizontal="right" vertical="center" wrapText="1"/>
    </xf>
    <xf numFmtId="168" fontId="74" fillId="0" borderId="19" xfId="5" applyNumberFormat="1" applyFont="1" applyFill="1" applyBorder="1" applyAlignment="1">
      <alignment horizontal="right" vertical="center"/>
    </xf>
    <xf numFmtId="168" fontId="15" fillId="0" borderId="19" xfId="5" applyNumberFormat="1" applyFont="1" applyFill="1" applyBorder="1" applyAlignment="1">
      <alignment horizontal="right" vertical="center"/>
    </xf>
    <xf numFmtId="179" fontId="74" fillId="0" borderId="19" xfId="5" applyNumberFormat="1" applyFont="1" applyFill="1" applyBorder="1" applyAlignment="1">
      <alignment horizontal="right" vertical="center"/>
    </xf>
    <xf numFmtId="167" fontId="15" fillId="0" borderId="19" xfId="34" applyNumberFormat="1" applyFont="1" applyFill="1" applyBorder="1" applyAlignment="1">
      <alignment horizontal="right" vertical="center" wrapText="1"/>
    </xf>
    <xf numFmtId="168" fontId="15" fillId="0" borderId="70" xfId="5" applyNumberFormat="1" applyFont="1" applyFill="1" applyBorder="1" applyAlignment="1">
      <alignment horizontal="right" vertical="center"/>
    </xf>
    <xf numFmtId="168" fontId="15" fillId="0" borderId="19" xfId="5" applyNumberFormat="1" applyFont="1" applyFill="1" applyBorder="1" applyAlignment="1">
      <alignment horizontal="right" vertical="center" wrapText="1"/>
    </xf>
    <xf numFmtId="168" fontId="74" fillId="0" borderId="19" xfId="5" applyNumberFormat="1" applyFont="1" applyFill="1" applyBorder="1" applyAlignment="1">
      <alignment horizontal="right" vertical="center" wrapText="1"/>
    </xf>
    <xf numFmtId="168" fontId="74" fillId="0" borderId="19" xfId="14" applyNumberFormat="1" applyFont="1" applyFill="1" applyBorder="1" applyAlignment="1">
      <alignment horizontal="right" vertical="center"/>
    </xf>
    <xf numFmtId="168" fontId="73" fillId="0" borderId="19" xfId="0" applyNumberFormat="1" applyFont="1" applyFill="1" applyBorder="1" applyAlignment="1">
      <alignment horizontal="right" vertical="center" wrapText="1"/>
    </xf>
    <xf numFmtId="168" fontId="15" fillId="0" borderId="19" xfId="14" applyNumberFormat="1" applyFont="1" applyFill="1" applyBorder="1" applyAlignment="1">
      <alignment horizontal="right" vertical="center"/>
    </xf>
    <xf numFmtId="168" fontId="95" fillId="0" borderId="19" xfId="5" applyNumberFormat="1" applyFont="1" applyFill="1" applyBorder="1" applyAlignment="1">
      <alignment horizontal="right" vertical="center" wrapText="1"/>
    </xf>
    <xf numFmtId="168" fontId="15" fillId="0" borderId="70" xfId="5" applyNumberFormat="1" applyFont="1" applyFill="1" applyBorder="1" applyAlignment="1">
      <alignment horizontal="right" vertical="center" wrapText="1"/>
    </xf>
    <xf numFmtId="168" fontId="15" fillId="0" borderId="66" xfId="5" applyNumberFormat="1" applyFont="1" applyFill="1" applyBorder="1" applyAlignment="1">
      <alignment horizontal="right" vertical="center" wrapText="1"/>
    </xf>
    <xf numFmtId="0" fontId="33" fillId="0" borderId="0" xfId="7" applyFont="1" applyFill="1" applyAlignment="1">
      <alignment horizontal="right"/>
    </xf>
    <xf numFmtId="168" fontId="50" fillId="8" borderId="1" xfId="25" applyNumberFormat="1" applyFont="1" applyFill="1" applyBorder="1" applyAlignment="1"/>
    <xf numFmtId="168" fontId="50" fillId="8" borderId="1" xfId="7" applyNumberFormat="1" applyFont="1" applyFill="1" applyBorder="1" applyAlignment="1"/>
    <xf numFmtId="168" fontId="29" fillId="8" borderId="47" xfId="7" applyNumberFormat="1" applyFont="1" applyFill="1" applyBorder="1" applyAlignment="1">
      <alignment horizontal="right" vertical="distributed"/>
    </xf>
    <xf numFmtId="43" fontId="52" fillId="8" borderId="45" xfId="26" applyFont="1" applyFill="1" applyBorder="1" applyAlignment="1">
      <alignment horizontal="right"/>
    </xf>
    <xf numFmtId="168" fontId="50" fillId="8" borderId="47" xfId="7" applyNumberFormat="1" applyFont="1" applyFill="1" applyBorder="1" applyAlignment="1">
      <alignment horizontal="center"/>
    </xf>
    <xf numFmtId="176" fontId="29" fillId="8" borderId="47" xfId="26" applyNumberFormat="1" applyFont="1" applyFill="1" applyBorder="1" applyAlignment="1">
      <alignment horizontal="right" vertical="distributed"/>
    </xf>
    <xf numFmtId="167" fontId="6" fillId="0" borderId="0" xfId="1" applyNumberFormat="1" applyFont="1" applyFill="1" applyBorder="1"/>
    <xf numFmtId="0" fontId="6" fillId="8" borderId="0" xfId="3" applyFont="1" applyFill="1" applyBorder="1"/>
    <xf numFmtId="176" fontId="29" fillId="8" borderId="46" xfId="26" applyNumberFormat="1" applyFont="1" applyFill="1" applyBorder="1" applyAlignment="1">
      <alignment horizontal="right" vertical="distributed"/>
    </xf>
    <xf numFmtId="168" fontId="29" fillId="0" borderId="46" xfId="7" applyNumberFormat="1" applyFont="1" applyFill="1" applyBorder="1" applyAlignment="1">
      <alignment horizontal="right" vertical="distributed"/>
    </xf>
    <xf numFmtId="168" fontId="29" fillId="8" borderId="46" xfId="7" applyNumberFormat="1" applyFont="1" applyFill="1" applyBorder="1" applyAlignment="1">
      <alignment horizontal="right" vertical="distributed"/>
    </xf>
    <xf numFmtId="166" fontId="5" fillId="8" borderId="1" xfId="7" applyNumberFormat="1" applyFill="1" applyBorder="1" applyAlignment="1">
      <alignment horizontal="center" vertical="center"/>
    </xf>
    <xf numFmtId="178" fontId="5" fillId="10" borderId="1" xfId="7" applyNumberFormat="1" applyFill="1" applyBorder="1"/>
    <xf numFmtId="178" fontId="5" fillId="0" borderId="1" xfId="7" applyNumberFormat="1" applyFill="1" applyBorder="1"/>
    <xf numFmtId="49" fontId="47" fillId="8" borderId="1" xfId="5" applyNumberFormat="1" applyFont="1" applyFill="1" applyBorder="1" applyAlignment="1">
      <alignment horizontal="center" vertical="center" wrapText="1"/>
    </xf>
    <xf numFmtId="49" fontId="48" fillId="8" borderId="1" xfId="5" applyNumberFormat="1" applyFont="1" applyFill="1" applyBorder="1" applyAlignment="1">
      <alignment horizontal="center" vertical="center" wrapText="1"/>
    </xf>
    <xf numFmtId="49" fontId="48" fillId="8" borderId="14" xfId="5" applyNumberFormat="1" applyFont="1" applyFill="1" applyBorder="1" applyAlignment="1">
      <alignment horizontal="center" vertical="center" wrapText="1"/>
    </xf>
    <xf numFmtId="168" fontId="74" fillId="8" borderId="19" xfId="5" applyNumberFormat="1" applyFont="1" applyFill="1" applyBorder="1" applyAlignment="1">
      <alignment horizontal="right" vertical="center" wrapText="1"/>
    </xf>
    <xf numFmtId="168" fontId="39" fillId="8" borderId="7" xfId="5" applyNumberFormat="1" applyFont="1" applyFill="1" applyBorder="1" applyAlignment="1">
      <alignment horizontal="right" vertical="center" wrapText="1"/>
    </xf>
    <xf numFmtId="168" fontId="39" fillId="8" borderId="9" xfId="5" applyNumberFormat="1" applyFont="1" applyFill="1" applyBorder="1" applyAlignment="1">
      <alignment horizontal="right" vertical="center" wrapText="1"/>
    </xf>
    <xf numFmtId="0" fontId="6" fillId="8" borderId="0" xfId="3" applyFont="1" applyFill="1"/>
    <xf numFmtId="168" fontId="74" fillId="8" borderId="9" xfId="5" applyNumberFormat="1" applyFont="1" applyFill="1" applyBorder="1" applyAlignment="1">
      <alignment horizontal="right" vertical="center" wrapText="1"/>
    </xf>
    <xf numFmtId="0" fontId="83" fillId="8" borderId="0" xfId="3" applyFont="1" applyFill="1"/>
    <xf numFmtId="168" fontId="15" fillId="8" borderId="19" xfId="5" applyNumberFormat="1" applyFont="1" applyFill="1" applyBorder="1" applyAlignment="1">
      <alignment horizontal="right" vertical="center" wrapText="1"/>
    </xf>
    <xf numFmtId="168" fontId="37" fillId="8" borderId="7" xfId="5" applyNumberFormat="1" applyFont="1" applyFill="1" applyBorder="1" applyAlignment="1">
      <alignment horizontal="right" vertical="center" wrapText="1"/>
    </xf>
    <xf numFmtId="168" fontId="37" fillId="8" borderId="9" xfId="5" applyNumberFormat="1" applyFont="1" applyFill="1" applyBorder="1" applyAlignment="1">
      <alignment horizontal="right" vertical="center" wrapText="1"/>
    </xf>
    <xf numFmtId="168" fontId="15" fillId="8" borderId="9" xfId="5" applyNumberFormat="1" applyFont="1" applyFill="1" applyBorder="1" applyAlignment="1">
      <alignment horizontal="right" vertical="center" wrapText="1"/>
    </xf>
    <xf numFmtId="49" fontId="47" fillId="8" borderId="1" xfId="14" applyNumberFormat="1" applyFont="1" applyFill="1" applyBorder="1" applyAlignment="1">
      <alignment horizontal="center" vertical="center" wrapText="1"/>
    </xf>
    <xf numFmtId="49" fontId="47" fillId="8" borderId="14" xfId="14" applyNumberFormat="1" applyFont="1" applyFill="1" applyBorder="1" applyAlignment="1">
      <alignment horizontal="center" vertical="center" wrapText="1"/>
    </xf>
    <xf numFmtId="49" fontId="48" fillId="8" borderId="1" xfId="14" applyNumberFormat="1" applyFont="1" applyFill="1" applyBorder="1" applyAlignment="1">
      <alignment horizontal="center" vertical="center" wrapText="1"/>
    </xf>
    <xf numFmtId="49" fontId="48" fillId="8" borderId="14" xfId="14" applyNumberFormat="1" applyFont="1" applyFill="1" applyBorder="1" applyAlignment="1">
      <alignment horizontal="center" vertical="center" wrapText="1"/>
    </xf>
    <xf numFmtId="167" fontId="6" fillId="8" borderId="0" xfId="1" applyNumberFormat="1" applyFont="1" applyFill="1"/>
    <xf numFmtId="167" fontId="6" fillId="10" borderId="0" xfId="1" applyNumberFormat="1" applyFont="1" applyFill="1"/>
    <xf numFmtId="0" fontId="33" fillId="0" borderId="0" xfId="7" applyFont="1" applyFill="1" applyAlignment="1">
      <alignment horizontal="right"/>
    </xf>
    <xf numFmtId="0" fontId="29" fillId="0" borderId="0" xfId="0" applyFont="1" applyFill="1" applyAlignment="1">
      <alignment horizontal="right" vertical="center"/>
    </xf>
    <xf numFmtId="0" fontId="29" fillId="0" borderId="47" xfId="7" applyFont="1" applyFill="1" applyBorder="1" applyAlignment="1">
      <alignment horizontal="center"/>
    </xf>
    <xf numFmtId="175" fontId="22" fillId="0" borderId="43" xfId="26" applyNumberFormat="1" applyFont="1" applyFill="1" applyBorder="1" applyAlignment="1">
      <alignment horizontal="right" vertical="distributed"/>
    </xf>
    <xf numFmtId="168" fontId="50" fillId="0" borderId="1" xfId="25" applyNumberFormat="1" applyFont="1" applyFill="1" applyBorder="1" applyAlignment="1"/>
    <xf numFmtId="175" fontId="52" fillId="0" borderId="43" xfId="26" applyNumberFormat="1" applyFont="1" applyFill="1" applyBorder="1" applyAlignment="1">
      <alignment horizontal="center"/>
    </xf>
    <xf numFmtId="168" fontId="50" fillId="0" borderId="1" xfId="7" applyNumberFormat="1" applyFont="1" applyFill="1" applyBorder="1" applyAlignment="1"/>
    <xf numFmtId="175" fontId="29" fillId="0" borderId="47" xfId="26" applyNumberFormat="1" applyFont="1" applyFill="1" applyBorder="1" applyAlignment="1">
      <alignment horizontal="right" vertical="distributed"/>
    </xf>
    <xf numFmtId="174" fontId="50" fillId="0" borderId="1" xfId="7" applyNumberFormat="1" applyFont="1" applyFill="1" applyBorder="1" applyAlignment="1"/>
    <xf numFmtId="0" fontId="29" fillId="0" borderId="46" xfId="7" applyFont="1" applyFill="1" applyBorder="1" applyAlignment="1">
      <alignment horizontal="center"/>
    </xf>
    <xf numFmtId="174" fontId="50" fillId="0" borderId="1" xfId="25" applyNumberFormat="1" applyFont="1" applyFill="1" applyBorder="1" applyAlignment="1"/>
    <xf numFmtId="168" fontId="50" fillId="0" borderId="2" xfId="25" applyNumberFormat="1" applyFont="1" applyFill="1" applyBorder="1" applyAlignment="1"/>
    <xf numFmtId="176" fontId="29" fillId="0" borderId="55" xfId="26" applyNumberFormat="1" applyFont="1" applyFill="1" applyBorder="1" applyAlignment="1">
      <alignment horizontal="distributed" vertical="distributed"/>
    </xf>
    <xf numFmtId="176" fontId="29" fillId="0" borderId="47" xfId="26" applyNumberFormat="1" applyFont="1" applyFill="1" applyBorder="1" applyAlignment="1">
      <alignment horizontal="right" vertical="distributed"/>
    </xf>
    <xf numFmtId="168" fontId="29" fillId="0" borderId="47" xfId="7" applyNumberFormat="1" applyFont="1" applyFill="1" applyBorder="1" applyAlignment="1">
      <alignment horizontal="right" vertical="distributed"/>
    </xf>
    <xf numFmtId="168" fontId="50" fillId="0" borderId="47" xfId="7" applyNumberFormat="1" applyFont="1" applyFill="1" applyBorder="1" applyAlignment="1">
      <alignment horizontal="center"/>
    </xf>
    <xf numFmtId="174" fontId="29" fillId="0" borderId="47" xfId="7" applyNumberFormat="1" applyFont="1" applyFill="1" applyBorder="1" applyAlignment="1">
      <alignment horizontal="right" vertical="distributed"/>
    </xf>
    <xf numFmtId="176" fontId="29" fillId="0" borderId="47" xfId="26" applyNumberFormat="1" applyFont="1" applyFill="1" applyBorder="1" applyAlignment="1">
      <alignment horizontal="center" vertical="distributed"/>
    </xf>
    <xf numFmtId="43" fontId="50" fillId="0" borderId="45" xfId="26" applyFont="1" applyFill="1" applyBorder="1" applyAlignment="1">
      <alignment horizontal="center"/>
    </xf>
    <xf numFmtId="43" fontId="50" fillId="0" borderId="47" xfId="26" applyFont="1" applyFill="1" applyBorder="1" applyAlignment="1">
      <alignment horizontal="center"/>
    </xf>
    <xf numFmtId="0" fontId="29" fillId="0" borderId="0" xfId="9" applyFont="1" applyFill="1" applyAlignment="1">
      <alignment horizontal="right" vertical="center"/>
    </xf>
    <xf numFmtId="49" fontId="12" fillId="0" borderId="7" xfId="3" applyNumberFormat="1" applyFont="1" applyFill="1" applyBorder="1" applyAlignment="1">
      <alignment horizontal="center" vertical="center" wrapText="1"/>
    </xf>
    <xf numFmtId="172" fontId="9" fillId="0" borderId="1" xfId="11" applyNumberFormat="1" applyFont="1" applyFill="1" applyBorder="1" applyAlignment="1" applyProtection="1">
      <alignment horizontal="left" vertical="center" wrapText="1"/>
    </xf>
    <xf numFmtId="166" fontId="29" fillId="0" borderId="0" xfId="24" applyNumberFormat="1" applyFont="1" applyFill="1" applyAlignment="1">
      <alignment horizontal="right"/>
    </xf>
    <xf numFmtId="0" fontId="9" fillId="0" borderId="2" xfId="3" applyFont="1" applyFill="1" applyBorder="1" applyAlignment="1">
      <alignment horizontal="center" vertical="center"/>
    </xf>
    <xf numFmtId="174" fontId="50" fillId="8" borderId="1" xfId="7" applyNumberFormat="1" applyFont="1" applyFill="1" applyBorder="1" applyAlignment="1"/>
    <xf numFmtId="175" fontId="29" fillId="8" borderId="47" xfId="26" applyNumberFormat="1" applyFont="1" applyFill="1" applyBorder="1" applyAlignment="1">
      <alignment horizontal="right" vertical="distributed"/>
    </xf>
    <xf numFmtId="0" fontId="5" fillId="0" borderId="0" xfId="41"/>
    <xf numFmtId="49" fontId="6" fillId="0" borderId="0" xfId="5" applyNumberFormat="1" applyFont="1" applyFill="1" applyAlignment="1">
      <alignment horizontal="left" vertical="center"/>
    </xf>
    <xf numFmtId="49" fontId="37" fillId="0" borderId="0" xfId="5" applyNumberFormat="1" applyFont="1" applyFill="1" applyAlignment="1">
      <alignment vertical="center"/>
    </xf>
    <xf numFmtId="0" fontId="5" fillId="0" borderId="0" xfId="41" applyAlignment="1">
      <alignment horizontal="left"/>
    </xf>
    <xf numFmtId="0" fontId="37" fillId="0" borderId="0" xfId="5" applyFont="1" applyFill="1"/>
    <xf numFmtId="49" fontId="6" fillId="0" borderId="0" xfId="5" applyNumberFormat="1" applyFont="1" applyFill="1" applyBorder="1" applyAlignment="1">
      <alignment horizontal="left" indent="20"/>
    </xf>
    <xf numFmtId="0" fontId="37" fillId="0" borderId="0" xfId="5" applyFont="1" applyFill="1" applyAlignment="1">
      <alignment horizontal="center" vertical="center"/>
    </xf>
    <xf numFmtId="166" fontId="37" fillId="0" borderId="0" xfId="5" applyNumberFormat="1" applyFont="1" applyFill="1"/>
    <xf numFmtId="0" fontId="46" fillId="0" borderId="0" xfId="5" applyFont="1" applyFill="1" applyBorder="1"/>
    <xf numFmtId="0" fontId="37" fillId="0" borderId="0" xfId="42" applyFont="1" applyFill="1" applyAlignment="1">
      <alignment horizontal="left" vertical="top"/>
    </xf>
    <xf numFmtId="168" fontId="37" fillId="0" borderId="0" xfId="5" applyNumberFormat="1" applyFont="1" applyFill="1" applyBorder="1" applyAlignment="1">
      <alignment horizontal="right"/>
    </xf>
    <xf numFmtId="168" fontId="6" fillId="0" borderId="0" xfId="5" applyNumberFormat="1" applyFont="1" applyFill="1" applyBorder="1" applyAlignment="1">
      <alignment horizontal="right"/>
    </xf>
    <xf numFmtId="0" fontId="101" fillId="0" borderId="0" xfId="41" applyFont="1"/>
    <xf numFmtId="49" fontId="99" fillId="7" borderId="1" xfId="42" applyNumberFormat="1" applyFont="1" applyFill="1" applyBorder="1" applyAlignment="1">
      <alignment horizontal="center" vertical="center" wrapText="1"/>
    </xf>
    <xf numFmtId="168" fontId="99" fillId="7" borderId="1" xfId="43" applyNumberFormat="1" applyFont="1" applyFill="1" applyBorder="1" applyAlignment="1">
      <alignment horizontal="right" vertical="center" wrapText="1"/>
    </xf>
    <xf numFmtId="168" fontId="99" fillId="7" borderId="9" xfId="43" applyNumberFormat="1" applyFont="1" applyFill="1" applyBorder="1" applyAlignment="1">
      <alignment horizontal="right" vertical="center" wrapText="1"/>
    </xf>
    <xf numFmtId="174" fontId="5" fillId="0" borderId="0" xfId="41" applyNumberFormat="1"/>
    <xf numFmtId="49" fontId="6" fillId="0" borderId="0" xfId="5" applyNumberFormat="1" applyFont="1" applyFill="1" applyAlignment="1">
      <alignment horizontal="right" vertical="center"/>
    </xf>
    <xf numFmtId="49" fontId="47" fillId="0" borderId="14" xfId="14" applyNumberFormat="1" applyFont="1" applyFill="1" applyBorder="1" applyAlignment="1">
      <alignment horizontal="center" vertical="center" wrapText="1"/>
    </xf>
    <xf numFmtId="0" fontId="29" fillId="0" borderId="0" xfId="9" applyFont="1" applyAlignment="1"/>
    <xf numFmtId="0" fontId="29" fillId="0" borderId="0" xfId="9" applyFont="1" applyAlignment="1">
      <alignment vertical="center"/>
    </xf>
    <xf numFmtId="0" fontId="51" fillId="0" borderId="0" xfId="7" applyFont="1" applyFill="1" applyAlignment="1"/>
    <xf numFmtId="0" fontId="51" fillId="0" borderId="0" xfId="32" applyFont="1" applyAlignment="1"/>
    <xf numFmtId="166" fontId="9" fillId="0" borderId="7" xfId="34" applyNumberFormat="1" applyFont="1" applyFill="1" applyBorder="1" applyAlignment="1">
      <alignment horizontal="left" vertical="center" wrapText="1"/>
    </xf>
    <xf numFmtId="166" fontId="10" fillId="0" borderId="18" xfId="34" applyNumberFormat="1" applyFont="1" applyFill="1" applyBorder="1" applyAlignment="1">
      <alignment horizontal="right"/>
    </xf>
    <xf numFmtId="166" fontId="13" fillId="0" borderId="28" xfId="34" applyNumberFormat="1" applyFont="1" applyFill="1" applyBorder="1" applyAlignment="1">
      <alignment horizontal="center" vertical="center"/>
    </xf>
    <xf numFmtId="0" fontId="9" fillId="0" borderId="4" xfId="0" applyFont="1" applyFill="1" applyBorder="1"/>
    <xf numFmtId="49" fontId="12" fillId="0" borderId="4" xfId="3" applyNumberFormat="1" applyFont="1" applyFill="1" applyBorder="1" applyAlignment="1">
      <alignment horizontal="center" vertical="center" wrapText="1"/>
    </xf>
    <xf numFmtId="167" fontId="8" fillId="0" borderId="4" xfId="34" applyNumberFormat="1" applyFont="1" applyFill="1" applyBorder="1" applyAlignment="1">
      <alignment horizontal="right" vertical="center" wrapText="1"/>
    </xf>
    <xf numFmtId="168" fontId="12" fillId="0" borderId="4" xfId="3" applyNumberFormat="1" applyFont="1" applyFill="1" applyBorder="1" applyAlignment="1">
      <alignment horizontal="center" vertical="center" wrapText="1"/>
    </xf>
    <xf numFmtId="168" fontId="9" fillId="0" borderId="74" xfId="3" applyNumberFormat="1" applyFont="1" applyFill="1" applyBorder="1" applyAlignment="1">
      <alignment horizontal="right" vertical="center" wrapText="1"/>
    </xf>
    <xf numFmtId="167" fontId="8" fillId="0" borderId="59" xfId="34" applyNumberFormat="1" applyFont="1" applyFill="1" applyBorder="1" applyAlignment="1">
      <alignment horizontal="right" vertical="center" wrapText="1"/>
    </xf>
    <xf numFmtId="167" fontId="8" fillId="0" borderId="74" xfId="34" applyNumberFormat="1" applyFont="1" applyFill="1" applyBorder="1" applyAlignment="1">
      <alignment horizontal="right" vertical="center" wrapText="1"/>
    </xf>
    <xf numFmtId="167" fontId="6" fillId="0" borderId="0" xfId="1" applyNumberFormat="1" applyFont="1" applyFill="1"/>
    <xf numFmtId="166" fontId="94" fillId="0" borderId="19" xfId="34" applyNumberFormat="1" applyFont="1" applyFill="1" applyBorder="1" applyAlignment="1">
      <alignment horizontal="right" vertical="center" wrapText="1"/>
    </xf>
    <xf numFmtId="166" fontId="94" fillId="0" borderId="7" xfId="34" applyNumberFormat="1" applyFont="1" applyFill="1" applyBorder="1" applyAlignment="1">
      <alignment horizontal="right" vertical="center" wrapText="1"/>
    </xf>
    <xf numFmtId="166" fontId="94" fillId="0" borderId="1" xfId="34" applyNumberFormat="1" applyFont="1" applyFill="1" applyBorder="1" applyAlignment="1">
      <alignment horizontal="right" vertical="center" wrapText="1"/>
    </xf>
    <xf numFmtId="166" fontId="94" fillId="0" borderId="14" xfId="34" applyNumberFormat="1" applyFont="1" applyFill="1" applyBorder="1" applyAlignment="1">
      <alignment horizontal="right" vertical="center" wrapText="1"/>
    </xf>
    <xf numFmtId="43" fontId="52" fillId="0" borderId="45" xfId="26" applyFont="1" applyFill="1" applyBorder="1" applyAlignment="1">
      <alignment horizontal="right"/>
    </xf>
    <xf numFmtId="166" fontId="5" fillId="0" borderId="1" xfId="7" applyNumberFormat="1" applyFill="1" applyBorder="1" applyAlignment="1">
      <alignment horizontal="center" vertical="center"/>
    </xf>
    <xf numFmtId="166" fontId="5" fillId="0" borderId="7" xfId="7" applyNumberFormat="1" applyFill="1" applyBorder="1" applyAlignment="1">
      <alignment horizontal="center" vertical="center"/>
    </xf>
    <xf numFmtId="168" fontId="50" fillId="0" borderId="0" xfId="25" applyNumberFormat="1" applyFont="1" applyFill="1" applyBorder="1" applyAlignment="1"/>
    <xf numFmtId="168" fontId="50" fillId="0" borderId="0" xfId="7" applyNumberFormat="1" applyFont="1" applyFill="1" applyBorder="1" applyAlignment="1"/>
    <xf numFmtId="0" fontId="99" fillId="0" borderId="1" xfId="42" applyFont="1" applyFill="1" applyBorder="1" applyAlignment="1">
      <alignment horizontal="left" vertical="center" wrapText="1"/>
    </xf>
    <xf numFmtId="0" fontId="100" fillId="0" borderId="1" xfId="42" applyFont="1" applyFill="1" applyBorder="1" applyAlignment="1">
      <alignment horizontal="left" vertical="center" wrapText="1"/>
    </xf>
    <xf numFmtId="49" fontId="100" fillId="7" borderId="1" xfId="42" applyNumberFormat="1" applyFont="1" applyFill="1" applyBorder="1" applyAlignment="1">
      <alignment horizontal="center" vertical="center" wrapText="1"/>
    </xf>
    <xf numFmtId="168" fontId="100" fillId="7" borderId="1" xfId="43" applyNumberFormat="1" applyFont="1" applyFill="1" applyBorder="1" applyAlignment="1">
      <alignment horizontal="righ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0" fontId="98" fillId="0" borderId="29" xfId="42" applyFont="1" applyFill="1" applyBorder="1" applyAlignment="1">
      <alignment horizontal="center" vertical="center" wrapText="1"/>
    </xf>
    <xf numFmtId="0" fontId="98" fillId="0" borderId="26" xfId="42" applyFont="1" applyFill="1" applyBorder="1" applyAlignment="1">
      <alignment horizontal="center" vertical="center" wrapText="1"/>
    </xf>
    <xf numFmtId="0" fontId="98" fillId="0" borderId="25" xfId="42" applyFont="1" applyFill="1" applyBorder="1" applyAlignment="1">
      <alignment horizontal="center" vertical="center" wrapText="1"/>
    </xf>
    <xf numFmtId="0" fontId="99" fillId="0" borderId="8" xfId="42" applyFont="1" applyFill="1" applyBorder="1" applyAlignment="1">
      <alignment horizontal="center" vertical="center" wrapText="1"/>
    </xf>
    <xf numFmtId="0" fontId="100" fillId="0" borderId="8" xfId="42" applyFont="1" applyFill="1" applyBorder="1" applyAlignment="1">
      <alignment horizontal="center" vertical="center" wrapText="1"/>
    </xf>
    <xf numFmtId="168" fontId="100" fillId="7" borderId="9" xfId="43" applyNumberFormat="1" applyFont="1" applyFill="1" applyBorder="1" applyAlignment="1">
      <alignment horizontal="right" vertical="center" wrapText="1"/>
    </xf>
    <xf numFmtId="166" fontId="98" fillId="7" borderId="5" xfId="5" applyNumberFormat="1" applyFont="1" applyFill="1" applyBorder="1" applyAlignment="1">
      <alignment horizontal="left" vertical="center" wrapText="1"/>
    </xf>
    <xf numFmtId="166" fontId="98" fillId="7" borderId="4" xfId="5" applyNumberFormat="1" applyFont="1" applyFill="1" applyBorder="1" applyAlignment="1">
      <alignment horizontal="left" vertical="center" wrapText="1"/>
    </xf>
    <xf numFmtId="49" fontId="99" fillId="7" borderId="4" xfId="5" applyNumberFormat="1" applyFont="1" applyFill="1" applyBorder="1" applyAlignment="1">
      <alignment horizontal="center" vertical="center" wrapText="1"/>
    </xf>
    <xf numFmtId="174" fontId="98" fillId="7" borderId="4" xfId="5" applyNumberFormat="1" applyFont="1" applyFill="1" applyBorder="1" applyAlignment="1">
      <alignment horizontal="right" vertical="center"/>
    </xf>
    <xf numFmtId="168" fontId="99" fillId="7" borderId="4" xfId="43" applyNumberFormat="1" applyFont="1" applyFill="1" applyBorder="1" applyAlignment="1">
      <alignment horizontal="right" vertical="center" wrapText="1"/>
    </xf>
    <xf numFmtId="168" fontId="99" fillId="7" borderId="3" xfId="43" applyNumberFormat="1" applyFont="1" applyFill="1" applyBorder="1" applyAlignment="1">
      <alignment horizontal="right" vertical="center" wrapText="1"/>
    </xf>
    <xf numFmtId="0" fontId="33" fillId="0" borderId="0" xfId="7" applyFont="1" applyFill="1" applyAlignment="1">
      <alignment horizontal="right"/>
    </xf>
    <xf numFmtId="0" fontId="29" fillId="0" borderId="0" xfId="9" applyFont="1" applyFill="1" applyAlignment="1">
      <alignment horizontal="right" vertical="center"/>
    </xf>
    <xf numFmtId="49" fontId="12" fillId="0" borderId="7" xfId="3" applyNumberFormat="1" applyFont="1" applyFill="1" applyBorder="1" applyAlignment="1">
      <alignment horizontal="center" vertical="center" wrapText="1"/>
    </xf>
    <xf numFmtId="172" fontId="9" fillId="0" borderId="1" xfId="11" applyNumberFormat="1" applyFont="1" applyFill="1" applyBorder="1" applyAlignment="1" applyProtection="1">
      <alignment horizontal="left" vertical="center" wrapText="1"/>
    </xf>
    <xf numFmtId="0" fontId="9" fillId="0" borderId="2" xfId="3" applyFont="1" applyFill="1" applyBorder="1" applyAlignment="1">
      <alignment horizontal="center" vertical="center"/>
    </xf>
    <xf numFmtId="166" fontId="29" fillId="0" borderId="0" xfId="24" applyNumberFormat="1" applyFont="1" applyFill="1" applyAlignment="1">
      <alignment horizontal="right"/>
    </xf>
    <xf numFmtId="166" fontId="29" fillId="0" borderId="52" xfId="0" applyNumberFormat="1" applyFont="1" applyFill="1" applyBorder="1" applyAlignment="1">
      <alignment horizontal="right" vertical="distributed"/>
    </xf>
    <xf numFmtId="175" fontId="50" fillId="0" borderId="1" xfId="34" applyNumberFormat="1" applyFont="1" applyFill="1" applyBorder="1" applyAlignment="1"/>
    <xf numFmtId="175" fontId="50" fillId="0" borderId="1" xfId="7" applyNumberFormat="1" applyFont="1" applyFill="1" applyBorder="1" applyAlignment="1"/>
    <xf numFmtId="175" fontId="50" fillId="0" borderId="45" xfId="26" applyNumberFormat="1" applyFont="1" applyFill="1" applyBorder="1" applyAlignment="1"/>
    <xf numFmtId="175" fontId="50" fillId="0" borderId="47" xfId="26" applyNumberFormat="1" applyFont="1" applyFill="1" applyBorder="1" applyAlignment="1"/>
    <xf numFmtId="175" fontId="29" fillId="0" borderId="47" xfId="26" applyNumberFormat="1" applyFont="1" applyFill="1" applyBorder="1" applyAlignment="1">
      <alignment vertical="distributed"/>
    </xf>
    <xf numFmtId="176" fontId="29" fillId="0" borderId="43" xfId="26" applyNumberFormat="1" applyFont="1" applyFill="1" applyBorder="1" applyAlignment="1">
      <alignment horizontal="right" vertical="distributed"/>
    </xf>
    <xf numFmtId="0" fontId="29" fillId="0" borderId="0" xfId="9" applyFont="1" applyFill="1" applyAlignment="1">
      <alignment vertical="center"/>
    </xf>
    <xf numFmtId="168" fontId="33" fillId="0" borderId="0" xfId="7" applyNumberFormat="1" applyFont="1" applyFill="1" applyAlignment="1"/>
    <xf numFmtId="168" fontId="29" fillId="0" borderId="0" xfId="9" applyNumberFormat="1" applyFont="1" applyFill="1" applyAlignment="1">
      <alignment horizontal="right" vertical="center"/>
    </xf>
    <xf numFmtId="168" fontId="9" fillId="0" borderId="0" xfId="9" applyNumberFormat="1" applyFont="1" applyFill="1" applyAlignment="1">
      <alignment vertical="center"/>
    </xf>
    <xf numFmtId="168" fontId="11" fillId="0" borderId="0" xfId="24" applyNumberFormat="1" applyFont="1" applyFill="1" applyAlignment="1">
      <alignment horizontal="center" vertical="center"/>
    </xf>
    <xf numFmtId="168" fontId="11" fillId="0" borderId="0" xfId="24" applyNumberFormat="1" applyFont="1" applyFill="1"/>
    <xf numFmtId="168" fontId="11" fillId="0" borderId="0" xfId="3" applyNumberFormat="1" applyFont="1" applyFill="1" applyBorder="1" applyAlignment="1">
      <alignment horizontal="center"/>
    </xf>
    <xf numFmtId="177" fontId="6" fillId="0" borderId="0" xfId="46" applyNumberFormat="1" applyFont="1" applyFill="1" applyAlignment="1">
      <alignment horizontal="right"/>
    </xf>
    <xf numFmtId="176" fontId="6" fillId="0" borderId="0" xfId="46" applyNumberFormat="1" applyFont="1" applyFill="1"/>
    <xf numFmtId="177" fontId="6" fillId="0" borderId="0" xfId="46" applyNumberFormat="1" applyFont="1" applyFill="1"/>
    <xf numFmtId="168" fontId="48" fillId="0" borderId="0" xfId="24" applyNumberFormat="1" applyFont="1" applyFill="1" applyAlignment="1">
      <alignment horizontal="right"/>
    </xf>
    <xf numFmtId="168" fontId="29" fillId="0" borderId="0" xfId="24" applyNumberFormat="1" applyFont="1" applyFill="1" applyAlignment="1">
      <alignment horizontal="right"/>
    </xf>
    <xf numFmtId="180" fontId="6" fillId="0" borderId="0" xfId="3" applyNumberFormat="1" applyFont="1" applyFill="1"/>
    <xf numFmtId="168" fontId="83" fillId="0" borderId="0" xfId="3" applyNumberFormat="1" applyFont="1" applyFill="1"/>
    <xf numFmtId="168" fontId="15" fillId="0" borderId="19" xfId="34" applyNumberFormat="1" applyFont="1" applyFill="1" applyBorder="1" applyAlignment="1">
      <alignment horizontal="right" vertical="center" wrapText="1"/>
    </xf>
    <xf numFmtId="168" fontId="45" fillId="0" borderId="0" xfId="3" applyNumberFormat="1" applyFont="1" applyFill="1"/>
    <xf numFmtId="168" fontId="15" fillId="0" borderId="9" xfId="34" applyNumberFormat="1" applyFont="1" applyFill="1" applyBorder="1" applyAlignment="1">
      <alignment horizontal="right" vertical="center" wrapText="1"/>
    </xf>
    <xf numFmtId="0" fontId="48" fillId="0" borderId="35" xfId="5" applyFont="1" applyFill="1" applyBorder="1" applyAlignment="1">
      <alignment horizontal="center" vertical="center"/>
    </xf>
    <xf numFmtId="172" fontId="74" fillId="0" borderId="36" xfId="5" applyNumberFormat="1" applyFont="1" applyFill="1" applyBorder="1" applyAlignment="1">
      <alignment horizontal="left" vertical="center" wrapText="1"/>
    </xf>
    <xf numFmtId="166" fontId="47" fillId="0" borderId="36" xfId="5" applyNumberFormat="1" applyFont="1" applyFill="1" applyBorder="1" applyAlignment="1">
      <alignment horizontal="left" vertical="center" wrapText="1"/>
    </xf>
    <xf numFmtId="49" fontId="47" fillId="0" borderId="36" xfId="5" applyNumberFormat="1" applyFont="1" applyFill="1" applyBorder="1" applyAlignment="1">
      <alignment horizontal="center" vertical="center" wrapText="1"/>
    </xf>
    <xf numFmtId="49" fontId="47" fillId="0" borderId="58" xfId="5" applyNumberFormat="1" applyFont="1" applyFill="1" applyBorder="1" applyAlignment="1">
      <alignment horizontal="center" vertical="center" wrapText="1"/>
    </xf>
    <xf numFmtId="168" fontId="39" fillId="0" borderId="12" xfId="5" applyNumberFormat="1" applyFont="1" applyFill="1" applyBorder="1" applyAlignment="1">
      <alignment horizontal="right" vertical="center" wrapText="1"/>
    </xf>
    <xf numFmtId="168" fontId="39" fillId="0" borderId="36" xfId="5" applyNumberFormat="1" applyFont="1" applyFill="1" applyBorder="1" applyAlignment="1">
      <alignment horizontal="right" vertical="center" wrapText="1"/>
    </xf>
    <xf numFmtId="0" fontId="47" fillId="0" borderId="29" xfId="5" applyFont="1" applyFill="1" applyBorder="1" applyAlignment="1">
      <alignment horizontal="center" vertical="center"/>
    </xf>
    <xf numFmtId="0" fontId="74" fillId="0" borderId="27" xfId="9" applyFont="1" applyFill="1" applyBorder="1" applyAlignment="1">
      <alignment wrapText="1"/>
    </xf>
    <xf numFmtId="166" fontId="47" fillId="0" borderId="26" xfId="11" applyNumberFormat="1" applyFont="1" applyFill="1" applyBorder="1" applyAlignment="1" applyProtection="1">
      <alignment horizontal="left" vertical="center" wrapText="1"/>
    </xf>
    <xf numFmtId="49" fontId="47" fillId="0" borderId="68" xfId="5" applyNumberFormat="1" applyFont="1" applyFill="1" applyBorder="1" applyAlignment="1">
      <alignment horizontal="center" vertical="center" wrapText="1"/>
    </xf>
    <xf numFmtId="168" fontId="74" fillId="0" borderId="69" xfId="5" applyNumberFormat="1" applyFont="1" applyFill="1" applyBorder="1" applyAlignment="1">
      <alignment horizontal="right" vertical="center"/>
    </xf>
    <xf numFmtId="168" fontId="39" fillId="0" borderId="28" xfId="5" applyNumberFormat="1" applyFont="1" applyFill="1" applyBorder="1" applyAlignment="1">
      <alignment horizontal="right" vertical="center"/>
    </xf>
    <xf numFmtId="168" fontId="39" fillId="0" borderId="26" xfId="5" applyNumberFormat="1" applyFont="1" applyFill="1" applyBorder="1" applyAlignment="1">
      <alignment horizontal="right" vertical="center"/>
    </xf>
    <xf numFmtId="168" fontId="6" fillId="0" borderId="27" xfId="3" applyNumberFormat="1" applyFont="1" applyFill="1" applyBorder="1"/>
    <xf numFmtId="168" fontId="74" fillId="0" borderId="25" xfId="5" applyNumberFormat="1" applyFont="1" applyFill="1" applyBorder="1" applyAlignment="1">
      <alignment horizontal="right" vertical="center"/>
    </xf>
    <xf numFmtId="181" fontId="6" fillId="0" borderId="0" xfId="3" applyNumberFormat="1" applyFont="1" applyFill="1"/>
    <xf numFmtId="168" fontId="6" fillId="0" borderId="0" xfId="3" applyNumberFormat="1" applyFont="1" applyFill="1" applyBorder="1"/>
    <xf numFmtId="168" fontId="45" fillId="0" borderId="0" xfId="3" applyNumberFormat="1" applyFont="1" applyFill="1" applyBorder="1"/>
    <xf numFmtId="168" fontId="11" fillId="0" borderId="0" xfId="3" applyNumberFormat="1" applyFont="1" applyFill="1" applyBorder="1"/>
    <xf numFmtId="167" fontId="6" fillId="0" borderId="0" xfId="24" applyNumberFormat="1" applyFont="1" applyFill="1"/>
    <xf numFmtId="168" fontId="83" fillId="0" borderId="0" xfId="3" applyNumberFormat="1" applyFont="1" applyFill="1" applyBorder="1"/>
    <xf numFmtId="0" fontId="15" fillId="0" borderId="7" xfId="9" applyFont="1" applyFill="1" applyBorder="1" applyAlignment="1">
      <alignment horizontal="left" vertical="center" wrapText="1"/>
    </xf>
    <xf numFmtId="49" fontId="48" fillId="0" borderId="1" xfId="9" applyNumberFormat="1" applyFont="1" applyFill="1" applyBorder="1" applyAlignment="1">
      <alignment horizontal="center" vertical="center" wrapText="1"/>
    </xf>
    <xf numFmtId="168" fontId="73" fillId="0" borderId="19" xfId="9" applyNumberFormat="1" applyFont="1" applyFill="1" applyBorder="1" applyAlignment="1">
      <alignment horizontal="right" vertical="center" wrapText="1"/>
    </xf>
    <xf numFmtId="168" fontId="73" fillId="0" borderId="64" xfId="9" applyNumberFormat="1" applyFont="1" applyFill="1" applyBorder="1" applyAlignment="1">
      <alignment horizontal="right" vertical="center" wrapText="1"/>
    </xf>
    <xf numFmtId="171" fontId="103" fillId="0" borderId="19" xfId="5" applyNumberFormat="1" applyFont="1" applyFill="1" applyBorder="1" applyAlignment="1">
      <alignment horizontal="right" vertical="center" wrapText="1"/>
    </xf>
    <xf numFmtId="0" fontId="48" fillId="0" borderId="7" xfId="37" applyFont="1" applyFill="1" applyBorder="1" applyAlignment="1">
      <alignment vertical="top" wrapText="1"/>
    </xf>
    <xf numFmtId="0" fontId="77" fillId="0" borderId="1" xfId="9" applyFont="1" applyFill="1" applyBorder="1" applyAlignment="1">
      <alignment horizontal="left" vertical="center" wrapText="1"/>
    </xf>
    <xf numFmtId="172" fontId="75" fillId="0" borderId="23" xfId="5" applyNumberFormat="1" applyFont="1" applyFill="1" applyBorder="1" applyAlignment="1">
      <alignment vertical="center" wrapText="1"/>
    </xf>
    <xf numFmtId="172" fontId="48" fillId="0" borderId="23" xfId="5" applyNumberFormat="1" applyFont="1" applyFill="1" applyBorder="1" applyAlignment="1">
      <alignment vertical="center" wrapText="1"/>
    </xf>
    <xf numFmtId="0" fontId="68" fillId="0" borderId="1" xfId="9" applyFont="1" applyFill="1" applyBorder="1" applyAlignment="1">
      <alignment horizontal="left" vertical="center" wrapText="1"/>
    </xf>
    <xf numFmtId="0" fontId="78" fillId="0" borderId="1" xfId="9" applyFont="1" applyFill="1" applyBorder="1" applyAlignment="1">
      <alignment horizontal="left" vertical="center" wrapText="1"/>
    </xf>
    <xf numFmtId="0" fontId="68" fillId="0" borderId="1" xfId="9" applyFont="1" applyFill="1" applyBorder="1" applyAlignment="1">
      <alignment vertical="center" wrapText="1"/>
    </xf>
    <xf numFmtId="49" fontId="6" fillId="0" borderId="14" xfId="9" applyNumberFormat="1" applyFont="1" applyFill="1" applyBorder="1" applyAlignment="1">
      <alignment horizontal="center" vertical="center" wrapText="1"/>
    </xf>
    <xf numFmtId="49" fontId="48" fillId="0" borderId="14" xfId="9" applyNumberFormat="1" applyFont="1" applyFill="1" applyBorder="1" applyAlignment="1">
      <alignment horizontal="center" vertical="center" wrapText="1"/>
    </xf>
    <xf numFmtId="49" fontId="47" fillId="0" borderId="23" xfId="14" applyNumberFormat="1" applyFont="1" applyFill="1" applyBorder="1" applyAlignment="1">
      <alignment horizontal="center" vertical="center" wrapText="1"/>
    </xf>
    <xf numFmtId="168" fontId="15" fillId="0" borderId="1" xfId="5" applyNumberFormat="1" applyFont="1" applyFill="1" applyBorder="1" applyAlignment="1">
      <alignment horizontal="right" vertical="center" wrapText="1"/>
    </xf>
    <xf numFmtId="0" fontId="68" fillId="0" borderId="23" xfId="9" applyFont="1" applyFill="1" applyBorder="1" applyAlignment="1">
      <alignment horizontal="left" vertical="center" wrapText="1"/>
    </xf>
    <xf numFmtId="49" fontId="48" fillId="0" borderId="7" xfId="5" applyNumberFormat="1" applyFont="1" applyFill="1" applyBorder="1" applyAlignment="1">
      <alignment horizontal="center" vertical="center" wrapText="1"/>
    </xf>
    <xf numFmtId="49" fontId="48" fillId="0" borderId="9" xfId="5" applyNumberFormat="1" applyFont="1" applyFill="1" applyBorder="1" applyAlignment="1">
      <alignment horizontal="center" vertical="center" wrapText="1"/>
    </xf>
    <xf numFmtId="172" fontId="48" fillId="0" borderId="0" xfId="5" applyNumberFormat="1" applyFont="1" applyFill="1" applyBorder="1" applyAlignment="1">
      <alignment horizontal="left" vertical="center" wrapText="1" indent="2"/>
    </xf>
    <xf numFmtId="49" fontId="48" fillId="0" borderId="0" xfId="5" applyNumberFormat="1" applyFont="1" applyFill="1" applyBorder="1" applyAlignment="1">
      <alignment horizontal="center" vertical="center" wrapText="1"/>
    </xf>
    <xf numFmtId="172" fontId="48" fillId="0" borderId="16" xfId="5" applyNumberFormat="1" applyFont="1" applyFill="1" applyBorder="1" applyAlignment="1">
      <alignment horizontal="left" vertical="center" wrapText="1" indent="2"/>
    </xf>
    <xf numFmtId="49" fontId="48" fillId="0" borderId="16" xfId="5" applyNumberFormat="1" applyFont="1" applyFill="1" applyBorder="1" applyAlignment="1">
      <alignment horizontal="center" vertical="center" wrapText="1"/>
    </xf>
    <xf numFmtId="168" fontId="97" fillId="0" borderId="0" xfId="3" applyNumberFormat="1" applyFont="1" applyFill="1" applyBorder="1"/>
    <xf numFmtId="168" fontId="76" fillId="0" borderId="20" xfId="5" applyNumberFormat="1" applyFont="1" applyFill="1" applyBorder="1" applyAlignment="1">
      <alignment horizontal="right" vertical="center" wrapText="1"/>
    </xf>
    <xf numFmtId="168" fontId="55" fillId="0" borderId="9" xfId="5" applyNumberFormat="1" applyFont="1" applyFill="1" applyBorder="1" applyAlignment="1">
      <alignment horizontal="right" vertical="center" wrapText="1"/>
    </xf>
    <xf numFmtId="168" fontId="55" fillId="0" borderId="34" xfId="5" applyNumberFormat="1" applyFont="1" applyFill="1" applyBorder="1" applyAlignment="1">
      <alignment horizontal="right" vertical="center" wrapText="1"/>
    </xf>
    <xf numFmtId="168" fontId="55" fillId="0" borderId="37" xfId="5" applyNumberFormat="1" applyFont="1" applyFill="1" applyBorder="1" applyAlignment="1">
      <alignment horizontal="right" vertical="center" wrapText="1"/>
    </xf>
    <xf numFmtId="168" fontId="76" fillId="0" borderId="31" xfId="5" applyNumberFormat="1" applyFont="1" applyFill="1" applyBorder="1" applyAlignment="1">
      <alignment horizontal="right" vertical="center" wrapText="1"/>
    </xf>
    <xf numFmtId="168" fontId="76" fillId="0" borderId="9" xfId="5" applyNumberFormat="1" applyFont="1" applyFill="1" applyBorder="1" applyAlignment="1">
      <alignment horizontal="right" vertical="center" wrapText="1"/>
    </xf>
    <xf numFmtId="168" fontId="74" fillId="0" borderId="1" xfId="5" applyNumberFormat="1" applyFont="1" applyFill="1" applyBorder="1" applyAlignment="1">
      <alignment horizontal="right" vertical="center" wrapText="1"/>
    </xf>
    <xf numFmtId="0" fontId="73" fillId="0" borderId="1" xfId="9" applyFont="1" applyFill="1" applyBorder="1" applyAlignment="1">
      <alignment horizontal="left" vertical="center" wrapText="1"/>
    </xf>
    <xf numFmtId="168" fontId="55" fillId="0" borderId="3" xfId="5" applyNumberFormat="1" applyFont="1" applyFill="1" applyBorder="1" applyAlignment="1">
      <alignment horizontal="right" vertical="center" wrapText="1"/>
    </xf>
    <xf numFmtId="168" fontId="15" fillId="0" borderId="70" xfId="34" applyNumberFormat="1" applyFont="1" applyFill="1" applyBorder="1" applyAlignment="1">
      <alignment horizontal="right" vertical="center" wrapText="1"/>
    </xf>
    <xf numFmtId="168" fontId="37" fillId="0" borderId="65" xfId="5" applyNumberFormat="1" applyFont="1" applyFill="1" applyBorder="1" applyAlignment="1">
      <alignment horizontal="right" vertical="center"/>
    </xf>
    <xf numFmtId="168" fontId="15" fillId="0" borderId="34" xfId="34" applyNumberFormat="1" applyFont="1" applyFill="1" applyBorder="1" applyAlignment="1">
      <alignment horizontal="right" vertical="center" wrapText="1"/>
    </xf>
    <xf numFmtId="168" fontId="15" fillId="0" borderId="66" xfId="34" applyNumberFormat="1" applyFont="1" applyFill="1" applyBorder="1" applyAlignment="1">
      <alignment horizontal="right" vertical="center" wrapText="1"/>
    </xf>
    <xf numFmtId="168" fontId="37" fillId="0" borderId="59" xfId="5" applyNumberFormat="1" applyFont="1" applyFill="1" applyBorder="1" applyAlignment="1">
      <alignment horizontal="right" vertical="center"/>
    </xf>
    <xf numFmtId="168" fontId="37" fillId="0" borderId="74" xfId="5" applyNumberFormat="1" applyFont="1" applyFill="1" applyBorder="1" applyAlignment="1">
      <alignment horizontal="right" vertical="center"/>
    </xf>
    <xf numFmtId="168" fontId="45" fillId="0" borderId="38" xfId="3" applyNumberFormat="1" applyFont="1" applyFill="1" applyBorder="1"/>
    <xf numFmtId="168" fontId="6" fillId="0" borderId="38" xfId="3" applyNumberFormat="1" applyFont="1" applyFill="1" applyBorder="1"/>
    <xf numFmtId="168" fontId="15" fillId="0" borderId="3" xfId="34" applyNumberFormat="1" applyFont="1" applyFill="1" applyBorder="1" applyAlignment="1">
      <alignment horizontal="right" vertical="center" wrapText="1"/>
    </xf>
    <xf numFmtId="176" fontId="6" fillId="0" borderId="0" xfId="46" applyNumberFormat="1" applyFont="1" applyFill="1" applyAlignment="1"/>
    <xf numFmtId="176" fontId="6" fillId="0" borderId="0" xfId="34" applyNumberFormat="1" applyFont="1" applyFill="1" applyAlignment="1">
      <alignment horizontal="right"/>
    </xf>
    <xf numFmtId="176" fontId="33" fillId="0" borderId="0" xfId="46" applyNumberFormat="1" applyFont="1" applyFill="1" applyAlignment="1"/>
    <xf numFmtId="176" fontId="33" fillId="0" borderId="0" xfId="7" applyNumberFormat="1" applyFont="1" applyFill="1" applyAlignment="1">
      <alignment horizontal="right"/>
    </xf>
    <xf numFmtId="176" fontId="33" fillId="0" borderId="0" xfId="7" applyNumberFormat="1" applyFont="1" applyFill="1" applyAlignment="1"/>
    <xf numFmtId="176" fontId="6" fillId="0" borderId="0" xfId="3" applyNumberFormat="1" applyFont="1" applyFill="1" applyAlignment="1">
      <alignment horizontal="center"/>
    </xf>
    <xf numFmtId="176" fontId="29" fillId="0" borderId="0" xfId="46" applyNumberFormat="1" applyFont="1" applyFill="1" applyAlignment="1">
      <alignment vertical="center"/>
    </xf>
    <xf numFmtId="176" fontId="29" fillId="0" borderId="0" xfId="3" applyNumberFormat="1" applyFont="1" applyFill="1" applyAlignment="1">
      <alignment horizontal="right" vertical="center"/>
    </xf>
    <xf numFmtId="176" fontId="34" fillId="0" borderId="0" xfId="9" applyNumberFormat="1" applyFont="1" applyFill="1" applyAlignment="1">
      <alignment vertical="center"/>
    </xf>
    <xf numFmtId="176" fontId="6" fillId="0" borderId="0" xfId="46" applyNumberFormat="1" applyFont="1" applyFill="1" applyAlignment="1">
      <alignment vertical="center"/>
    </xf>
    <xf numFmtId="176" fontId="6" fillId="0" borderId="0" xfId="3" applyNumberFormat="1" applyFont="1" applyFill="1" applyAlignment="1">
      <alignment horizontal="left" vertical="center"/>
    </xf>
    <xf numFmtId="176" fontId="6" fillId="0" borderId="0" xfId="3" applyNumberFormat="1" applyFont="1" applyFill="1" applyAlignment="1">
      <alignment horizontal="right" vertical="center"/>
    </xf>
    <xf numFmtId="176" fontId="29" fillId="0" borderId="0" xfId="9" applyNumberFormat="1" applyFont="1" applyFill="1" applyAlignment="1">
      <alignment horizontal="right" vertical="center"/>
    </xf>
    <xf numFmtId="176" fontId="30" fillId="0" borderId="0" xfId="46" applyNumberFormat="1" applyFont="1" applyFill="1" applyAlignment="1"/>
    <xf numFmtId="176" fontId="30" fillId="0" borderId="0" xfId="34" applyNumberFormat="1" applyFont="1" applyFill="1" applyAlignment="1">
      <alignment horizontal="right"/>
    </xf>
    <xf numFmtId="171" fontId="6" fillId="0" borderId="0" xfId="3" applyNumberFormat="1" applyFont="1" applyFill="1" applyAlignment="1">
      <alignment horizontal="left" vertical="center"/>
    </xf>
    <xf numFmtId="176" fontId="6" fillId="0" borderId="0" xfId="3" applyNumberFormat="1" applyFont="1" applyFill="1"/>
    <xf numFmtId="176" fontId="6" fillId="0" borderId="0" xfId="3" applyNumberFormat="1" applyFont="1" applyFill="1" applyAlignment="1">
      <alignment horizontal="right"/>
    </xf>
    <xf numFmtId="176" fontId="29" fillId="0" borderId="0" xfId="46" applyNumberFormat="1" applyFont="1" applyFill="1" applyAlignment="1"/>
    <xf numFmtId="176" fontId="29" fillId="0" borderId="0" xfId="34" applyNumberFormat="1" applyFont="1" applyFill="1" applyAlignment="1">
      <alignment horizontal="right"/>
    </xf>
    <xf numFmtId="169" fontId="23" fillId="0" borderId="1" xfId="9" applyNumberFormat="1" applyFont="1" applyFill="1" applyBorder="1" applyAlignment="1">
      <alignment horizontal="center" vertical="top" wrapText="1"/>
    </xf>
    <xf numFmtId="176" fontId="13" fillId="0" borderId="1" xfId="46" applyNumberFormat="1" applyFont="1" applyFill="1" applyBorder="1" applyAlignment="1">
      <alignment vertical="center"/>
    </xf>
    <xf numFmtId="176" fontId="13" fillId="0" borderId="1" xfId="34" applyNumberFormat="1" applyFont="1" applyFill="1" applyBorder="1" applyAlignment="1">
      <alignment horizontal="center" vertical="center"/>
    </xf>
    <xf numFmtId="176" fontId="13" fillId="0" borderId="1" xfId="34" applyNumberFormat="1" applyFont="1" applyFill="1" applyBorder="1" applyAlignment="1">
      <alignment horizontal="right" vertical="center"/>
    </xf>
    <xf numFmtId="176" fontId="19" fillId="0" borderId="1" xfId="46" applyNumberFormat="1" applyFont="1" applyFill="1" applyBorder="1" applyAlignment="1">
      <alignment vertical="center" wrapText="1"/>
    </xf>
    <xf numFmtId="176" fontId="19" fillId="0" borderId="1" xfId="34" applyNumberFormat="1" applyFont="1" applyFill="1" applyBorder="1" applyAlignment="1">
      <alignment horizontal="right" vertical="center" wrapText="1"/>
    </xf>
    <xf numFmtId="176" fontId="25" fillId="0" borderId="1" xfId="46" applyNumberFormat="1" applyFont="1" applyFill="1" applyBorder="1" applyAlignment="1">
      <alignment vertical="center" wrapText="1"/>
    </xf>
    <xf numFmtId="176" fontId="25" fillId="0" borderId="1" xfId="34" applyNumberFormat="1" applyFont="1" applyFill="1" applyBorder="1" applyAlignment="1">
      <alignment horizontal="right" vertical="center" wrapText="1"/>
    </xf>
    <xf numFmtId="176" fontId="10" fillId="0" borderId="1" xfId="46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horizontal="right" vertical="center" wrapText="1"/>
    </xf>
    <xf numFmtId="0" fontId="9" fillId="0" borderId="0" xfId="9" applyFont="1" applyFill="1"/>
    <xf numFmtId="176" fontId="9" fillId="0" borderId="1" xfId="46" applyNumberFormat="1" applyFont="1" applyFill="1" applyBorder="1" applyAlignment="1">
      <alignment vertical="center" wrapText="1"/>
    </xf>
    <xf numFmtId="176" fontId="9" fillId="0" borderId="1" xfId="34" applyNumberFormat="1" applyFont="1" applyFill="1" applyBorder="1" applyAlignment="1">
      <alignment horizontal="right" vertical="center" wrapText="1"/>
    </xf>
    <xf numFmtId="176" fontId="13" fillId="0" borderId="1" xfId="46" applyNumberFormat="1" applyFont="1" applyFill="1" applyBorder="1" applyAlignment="1">
      <alignment vertical="center" wrapText="1"/>
    </xf>
    <xf numFmtId="176" fontId="13" fillId="0" borderId="1" xfId="34" applyNumberFormat="1" applyFont="1" applyFill="1" applyBorder="1" applyAlignment="1">
      <alignment horizontal="right" vertical="center" wrapText="1"/>
    </xf>
    <xf numFmtId="176" fontId="8" fillId="0" borderId="1" xfId="46" applyNumberFormat="1" applyFont="1" applyFill="1" applyBorder="1" applyAlignment="1">
      <alignment vertical="center" wrapText="1"/>
    </xf>
    <xf numFmtId="176" fontId="8" fillId="0" borderId="1" xfId="34" applyNumberFormat="1" applyFont="1" applyFill="1" applyBorder="1" applyAlignment="1">
      <alignment horizontal="right" vertical="center" wrapText="1"/>
    </xf>
    <xf numFmtId="176" fontId="24" fillId="0" borderId="1" xfId="46" applyNumberFormat="1" applyFont="1" applyFill="1" applyBorder="1" applyAlignment="1">
      <alignment vertical="center" wrapText="1"/>
    </xf>
    <xf numFmtId="176" fontId="24" fillId="0" borderId="1" xfId="34" applyNumberFormat="1" applyFont="1" applyFill="1" applyBorder="1" applyAlignment="1">
      <alignment horizontal="right" vertical="center" wrapText="1"/>
    </xf>
    <xf numFmtId="176" fontId="13" fillId="0" borderId="1" xfId="3" applyNumberFormat="1" applyFont="1" applyFill="1" applyBorder="1" applyAlignment="1">
      <alignment vertical="center" wrapText="1"/>
    </xf>
    <xf numFmtId="176" fontId="13" fillId="0" borderId="1" xfId="3" applyNumberFormat="1" applyFont="1" applyFill="1" applyBorder="1" applyAlignment="1">
      <alignment horizontal="right" vertical="center" wrapText="1"/>
    </xf>
    <xf numFmtId="176" fontId="8" fillId="0" borderId="7" xfId="46" applyNumberFormat="1" applyFont="1" applyFill="1" applyBorder="1" applyAlignment="1">
      <alignment vertical="center" wrapText="1"/>
    </xf>
    <xf numFmtId="176" fontId="8" fillId="0" borderId="7" xfId="34" applyNumberFormat="1" applyFont="1" applyFill="1" applyBorder="1" applyAlignment="1">
      <alignment horizontal="right" vertical="center" wrapText="1"/>
    </xf>
    <xf numFmtId="176" fontId="27" fillId="0" borderId="1" xfId="46" applyNumberFormat="1" applyFont="1" applyFill="1" applyBorder="1" applyAlignment="1">
      <alignment vertical="center" wrapText="1"/>
    </xf>
    <xf numFmtId="176" fontId="27" fillId="0" borderId="1" xfId="34" applyNumberFormat="1" applyFont="1" applyFill="1" applyBorder="1" applyAlignment="1">
      <alignment horizontal="right" vertical="center" wrapText="1"/>
    </xf>
    <xf numFmtId="176" fontId="8" fillId="0" borderId="1" xfId="3" applyNumberFormat="1" applyFont="1" applyFill="1" applyBorder="1" applyAlignment="1">
      <alignment vertical="center" wrapText="1"/>
    </xf>
    <xf numFmtId="176" fontId="8" fillId="0" borderId="1" xfId="3" applyNumberFormat="1" applyFont="1" applyFill="1" applyBorder="1" applyAlignment="1">
      <alignment horizontal="right" vertical="center" wrapText="1"/>
    </xf>
    <xf numFmtId="176" fontId="8" fillId="0" borderId="18" xfId="46" applyNumberFormat="1" applyFont="1" applyFill="1" applyBorder="1" applyAlignment="1">
      <alignment vertical="center" wrapText="1"/>
    </xf>
    <xf numFmtId="176" fontId="8" fillId="0" borderId="18" xfId="3" applyNumberFormat="1" applyFont="1" applyFill="1" applyBorder="1" applyAlignment="1">
      <alignment horizontal="right" vertical="center" wrapText="1"/>
    </xf>
    <xf numFmtId="0" fontId="9" fillId="0" borderId="0" xfId="9" applyFont="1" applyFill="1" applyAlignment="1">
      <alignment wrapText="1"/>
    </xf>
    <xf numFmtId="176" fontId="8" fillId="0" borderId="15" xfId="46" applyNumberFormat="1" applyFont="1" applyFill="1" applyBorder="1" applyAlignment="1">
      <alignment vertical="center" wrapText="1"/>
    </xf>
    <xf numFmtId="176" fontId="8" fillId="0" borderId="15" xfId="34" applyNumberFormat="1" applyFont="1" applyFill="1" applyBorder="1" applyAlignment="1">
      <alignment horizontal="right" vertical="center" wrapText="1"/>
    </xf>
    <xf numFmtId="176" fontId="13" fillId="0" borderId="7" xfId="46" applyNumberFormat="1" applyFont="1" applyFill="1" applyBorder="1" applyAlignment="1">
      <alignment vertical="center" wrapText="1"/>
    </xf>
    <xf numFmtId="176" fontId="13" fillId="0" borderId="7" xfId="3" applyNumberFormat="1" applyFont="1" applyFill="1" applyBorder="1" applyAlignment="1">
      <alignment vertical="center" wrapText="1"/>
    </xf>
    <xf numFmtId="176" fontId="13" fillId="0" borderId="7" xfId="3" applyNumberFormat="1" applyFont="1" applyFill="1" applyBorder="1" applyAlignment="1">
      <alignment horizontal="right" vertical="center" wrapText="1"/>
    </xf>
    <xf numFmtId="176" fontId="9" fillId="0" borderId="7" xfId="46" applyNumberFormat="1" applyFont="1" applyFill="1" applyBorder="1" applyAlignment="1">
      <alignment vertical="center" wrapText="1"/>
    </xf>
    <xf numFmtId="176" fontId="9" fillId="0" borderId="7" xfId="3" applyNumberFormat="1" applyFont="1" applyFill="1" applyBorder="1" applyAlignment="1">
      <alignment horizontal="right" vertical="center" wrapText="1"/>
    </xf>
    <xf numFmtId="176" fontId="13" fillId="0" borderId="1" xfId="34" applyNumberFormat="1" applyFont="1" applyFill="1" applyBorder="1" applyAlignment="1">
      <alignment vertical="center" wrapText="1"/>
    </xf>
    <xf numFmtId="176" fontId="8" fillId="0" borderId="1" xfId="34" applyNumberFormat="1" applyFont="1" applyFill="1" applyBorder="1" applyAlignment="1">
      <alignment vertical="center" wrapText="1"/>
    </xf>
    <xf numFmtId="176" fontId="8" fillId="0" borderId="7" xfId="34" applyNumberFormat="1" applyFont="1" applyFill="1" applyBorder="1" applyAlignment="1">
      <alignment vertical="center" wrapText="1"/>
    </xf>
    <xf numFmtId="169" fontId="23" fillId="0" borderId="26" xfId="9" applyNumberFormat="1" applyFont="1" applyFill="1" applyBorder="1" applyAlignment="1">
      <alignment horizontal="center" vertical="top" wrapText="1"/>
    </xf>
    <xf numFmtId="169" fontId="23" fillId="0" borderId="68" xfId="9" applyNumberFormat="1" applyFont="1" applyFill="1" applyBorder="1" applyAlignment="1">
      <alignment horizontal="center" vertical="top" wrapText="1"/>
    </xf>
    <xf numFmtId="176" fontId="13" fillId="0" borderId="69" xfId="46" applyNumberFormat="1" applyFont="1" applyFill="1" applyBorder="1" applyAlignment="1">
      <alignment horizontal="center" vertical="center"/>
    </xf>
    <xf numFmtId="176" fontId="13" fillId="0" borderId="28" xfId="34" applyNumberFormat="1" applyFont="1" applyFill="1" applyBorder="1" applyAlignment="1">
      <alignment horizontal="center" vertical="center"/>
    </xf>
    <xf numFmtId="176" fontId="13" fillId="0" borderId="26" xfId="34" applyNumberFormat="1" applyFont="1" applyFill="1" applyBorder="1" applyAlignment="1">
      <alignment horizontal="center" vertical="center"/>
    </xf>
    <xf numFmtId="176" fontId="13" fillId="0" borderId="76" xfId="34" applyNumberFormat="1" applyFont="1" applyFill="1" applyBorder="1" applyAlignment="1">
      <alignment horizontal="right" vertical="center"/>
    </xf>
    <xf numFmtId="176" fontId="13" fillId="0" borderId="69" xfId="34" applyNumberFormat="1" applyFont="1" applyFill="1" applyBorder="1" applyAlignment="1">
      <alignment horizontal="right" vertical="center"/>
    </xf>
    <xf numFmtId="177" fontId="6" fillId="0" borderId="0" xfId="3" applyNumberFormat="1" applyFont="1" applyFill="1" applyBorder="1"/>
    <xf numFmtId="49" fontId="22" fillId="0" borderId="7" xfId="9" applyNumberFormat="1" applyFont="1" applyFill="1" applyBorder="1" applyAlignment="1">
      <alignment horizontal="left" vertical="top" wrapText="1"/>
    </xf>
    <xf numFmtId="176" fontId="13" fillId="0" borderId="19" xfId="46" applyNumberFormat="1" applyFont="1" applyFill="1" applyBorder="1" applyAlignment="1">
      <alignment vertical="center"/>
    </xf>
    <xf numFmtId="176" fontId="13" fillId="0" borderId="7" xfId="34" applyNumberFormat="1" applyFont="1" applyFill="1" applyBorder="1" applyAlignment="1">
      <alignment horizontal="right" vertical="center"/>
    </xf>
    <xf numFmtId="176" fontId="13" fillId="0" borderId="13" xfId="34" applyNumberFormat="1" applyFont="1" applyFill="1" applyBorder="1" applyAlignment="1">
      <alignment horizontal="right" vertical="center"/>
    </xf>
    <xf numFmtId="176" fontId="13" fillId="0" borderId="9" xfId="34" applyNumberFormat="1" applyFont="1" applyFill="1" applyBorder="1" applyAlignment="1">
      <alignment horizontal="right" vertical="center"/>
    </xf>
    <xf numFmtId="176" fontId="13" fillId="0" borderId="19" xfId="34" applyNumberFormat="1" applyFont="1" applyFill="1" applyBorder="1" applyAlignment="1">
      <alignment horizontal="right" vertical="center"/>
    </xf>
    <xf numFmtId="0" fontId="19" fillId="0" borderId="7" xfId="9" applyFont="1" applyFill="1" applyBorder="1" applyAlignment="1">
      <alignment horizontal="left" vertical="center"/>
    </xf>
    <xf numFmtId="176" fontId="13" fillId="0" borderId="7" xfId="34" applyNumberFormat="1" applyFont="1" applyFill="1" applyBorder="1" applyAlignment="1">
      <alignment horizontal="center" vertical="center"/>
    </xf>
    <xf numFmtId="176" fontId="13" fillId="0" borderId="10" xfId="34" applyNumberFormat="1" applyFont="1" applyFill="1" applyBorder="1" applyAlignment="1">
      <alignment horizontal="right" vertical="center"/>
    </xf>
    <xf numFmtId="176" fontId="13" fillId="0" borderId="19" xfId="46" applyNumberFormat="1" applyFont="1" applyFill="1" applyBorder="1" applyAlignment="1">
      <alignment vertical="center" wrapText="1"/>
    </xf>
    <xf numFmtId="176" fontId="13" fillId="0" borderId="7" xfId="34" applyNumberFormat="1" applyFont="1" applyFill="1" applyBorder="1" applyAlignment="1">
      <alignment vertical="center" wrapText="1"/>
    </xf>
    <xf numFmtId="176" fontId="13" fillId="0" borderId="13" xfId="34" applyNumberFormat="1" applyFont="1" applyFill="1" applyBorder="1" applyAlignment="1">
      <alignment horizontal="right" vertical="center" wrapText="1"/>
    </xf>
    <xf numFmtId="176" fontId="13" fillId="0" borderId="19" xfId="34" applyNumberFormat="1" applyFont="1" applyFill="1" applyBorder="1" applyAlignment="1">
      <alignment horizontal="right" vertical="center" wrapText="1"/>
    </xf>
    <xf numFmtId="176" fontId="8" fillId="0" borderId="19" xfId="46" applyNumberFormat="1" applyFont="1" applyFill="1" applyBorder="1" applyAlignment="1">
      <alignment vertical="center" wrapText="1"/>
    </xf>
    <xf numFmtId="176" fontId="8" fillId="0" borderId="14" xfId="34" applyNumberFormat="1" applyFont="1" applyFill="1" applyBorder="1" applyAlignment="1">
      <alignment horizontal="right" vertical="center" wrapText="1"/>
    </xf>
    <xf numFmtId="176" fontId="8" fillId="0" borderId="19" xfId="34" applyNumberFormat="1" applyFont="1" applyFill="1" applyBorder="1" applyAlignment="1">
      <alignment horizontal="right" vertical="center" wrapText="1"/>
    </xf>
    <xf numFmtId="176" fontId="10" fillId="0" borderId="19" xfId="46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horizontal="right" vertical="center" wrapText="1"/>
    </xf>
    <xf numFmtId="176" fontId="10" fillId="0" borderId="14" xfId="34" applyNumberFormat="1" applyFont="1" applyFill="1" applyBorder="1" applyAlignment="1">
      <alignment horizontal="right" vertical="center" wrapText="1"/>
    </xf>
    <xf numFmtId="176" fontId="10" fillId="0" borderId="19" xfId="34" applyNumberFormat="1" applyFont="1" applyFill="1" applyBorder="1" applyAlignment="1">
      <alignment horizontal="right" vertical="center" wrapText="1"/>
    </xf>
    <xf numFmtId="0" fontId="9" fillId="0" borderId="1" xfId="9" applyFont="1" applyFill="1" applyBorder="1" applyAlignment="1">
      <alignment horizontal="justify" vertical="top" wrapText="1"/>
    </xf>
    <xf numFmtId="176" fontId="13" fillId="0" borderId="7" xfId="34" applyNumberFormat="1" applyFont="1" applyFill="1" applyBorder="1" applyAlignment="1">
      <alignment horizontal="right" vertical="center" wrapText="1"/>
    </xf>
    <xf numFmtId="176" fontId="13" fillId="0" borderId="14" xfId="34" applyNumberFormat="1" applyFont="1" applyFill="1" applyBorder="1" applyAlignment="1">
      <alignment horizontal="right" vertical="center" wrapText="1"/>
    </xf>
    <xf numFmtId="176" fontId="13" fillId="0" borderId="14" xfId="3" applyNumberFormat="1" applyFont="1" applyFill="1" applyBorder="1" applyAlignment="1">
      <alignment horizontal="right" vertical="center" wrapText="1"/>
    </xf>
    <xf numFmtId="176" fontId="13" fillId="0" borderId="19" xfId="3" applyNumberFormat="1" applyFont="1" applyFill="1" applyBorder="1" applyAlignment="1">
      <alignment horizontal="right" vertical="center" wrapText="1"/>
    </xf>
    <xf numFmtId="176" fontId="9" fillId="0" borderId="19" xfId="46" applyNumberFormat="1" applyFont="1" applyFill="1" applyBorder="1" applyAlignment="1">
      <alignment vertical="center" wrapText="1"/>
    </xf>
    <xf numFmtId="176" fontId="9" fillId="0" borderId="7" xfId="34" applyNumberFormat="1" applyFont="1" applyFill="1" applyBorder="1" applyAlignment="1">
      <alignment horizontal="right" vertical="center" wrapText="1"/>
    </xf>
    <xf numFmtId="176" fontId="9" fillId="0" borderId="14" xfId="34" applyNumberFormat="1" applyFont="1" applyFill="1" applyBorder="1" applyAlignment="1">
      <alignment horizontal="right" vertical="center" wrapText="1"/>
    </xf>
    <xf numFmtId="176" fontId="9" fillId="0" borderId="19" xfId="34" applyNumberFormat="1" applyFont="1" applyFill="1" applyBorder="1" applyAlignment="1">
      <alignment horizontal="right" vertical="center" wrapText="1"/>
    </xf>
    <xf numFmtId="176" fontId="9" fillId="0" borderId="19" xfId="46" applyNumberFormat="1" applyFont="1" applyFill="1" applyBorder="1" applyAlignment="1">
      <alignment horizontal="right" vertical="center" wrapText="1"/>
    </xf>
    <xf numFmtId="0" fontId="9" fillId="0" borderId="0" xfId="9" applyFont="1" applyFill="1" applyBorder="1"/>
    <xf numFmtId="176" fontId="93" fillId="0" borderId="19" xfId="46" applyNumberFormat="1" applyFont="1" applyFill="1" applyBorder="1" applyAlignment="1">
      <alignment vertical="center" wrapText="1"/>
    </xf>
    <xf numFmtId="176" fontId="93" fillId="0" borderId="7" xfId="34" applyNumberFormat="1" applyFont="1" applyFill="1" applyBorder="1" applyAlignment="1">
      <alignment horizontal="right" vertical="center" wrapText="1"/>
    </xf>
    <xf numFmtId="176" fontId="93" fillId="0" borderId="1" xfId="34" applyNumberFormat="1" applyFont="1" applyFill="1" applyBorder="1" applyAlignment="1">
      <alignment horizontal="right" vertical="center" wrapText="1"/>
    </xf>
    <xf numFmtId="176" fontId="93" fillId="0" borderId="14" xfId="34" applyNumberFormat="1" applyFont="1" applyFill="1" applyBorder="1" applyAlignment="1">
      <alignment horizontal="right" vertical="center" wrapText="1"/>
    </xf>
    <xf numFmtId="176" fontId="93" fillId="0" borderId="19" xfId="34" applyNumberFormat="1" applyFont="1" applyFill="1" applyBorder="1" applyAlignment="1">
      <alignment horizontal="right" vertical="center" wrapText="1"/>
    </xf>
    <xf numFmtId="0" fontId="8" fillId="0" borderId="1" xfId="9" applyFont="1" applyFill="1" applyBorder="1" applyAlignment="1">
      <alignment horizontal="left" vertical="center" wrapText="1"/>
    </xf>
    <xf numFmtId="176" fontId="8" fillId="0" borderId="13" xfId="34" applyNumberFormat="1" applyFont="1" applyFill="1" applyBorder="1" applyAlignment="1">
      <alignment horizontal="right" vertical="center" wrapText="1"/>
    </xf>
    <xf numFmtId="167" fontId="6" fillId="0" borderId="0" xfId="24" applyNumberFormat="1" applyFont="1" applyFill="1" applyBorder="1"/>
    <xf numFmtId="0" fontId="9" fillId="0" borderId="1" xfId="9" applyFont="1" applyFill="1" applyBorder="1" applyAlignment="1">
      <alignment wrapText="1"/>
    </xf>
    <xf numFmtId="176" fontId="13" fillId="0" borderId="70" xfId="46" applyNumberFormat="1" applyFont="1" applyFill="1" applyBorder="1" applyAlignment="1">
      <alignment vertical="center" wrapText="1"/>
    </xf>
    <xf numFmtId="176" fontId="13" fillId="0" borderId="15" xfId="3" applyNumberFormat="1" applyFont="1" applyFill="1" applyBorder="1" applyAlignment="1">
      <alignment vertical="center" wrapText="1"/>
    </xf>
    <xf numFmtId="176" fontId="13" fillId="0" borderId="16" xfId="3" applyNumberFormat="1" applyFont="1" applyFill="1" applyBorder="1" applyAlignment="1">
      <alignment horizontal="right" vertical="center" wrapText="1"/>
    </xf>
    <xf numFmtId="176" fontId="13" fillId="0" borderId="70" xfId="3" applyNumberFormat="1" applyFont="1" applyFill="1" applyBorder="1" applyAlignment="1">
      <alignment horizontal="right" vertical="center" wrapText="1"/>
    </xf>
    <xf numFmtId="176" fontId="9" fillId="0" borderId="7" xfId="37" applyNumberFormat="1" applyFont="1" applyFill="1" applyBorder="1" applyAlignment="1">
      <alignment horizontal="left" vertical="center" wrapText="1"/>
    </xf>
    <xf numFmtId="176" fontId="9" fillId="0" borderId="1" xfId="37" applyNumberFormat="1" applyFont="1" applyFill="1" applyBorder="1" applyAlignment="1">
      <alignment horizontal="left" vertical="center" wrapText="1"/>
    </xf>
    <xf numFmtId="176" fontId="9" fillId="0" borderId="14" xfId="37" applyNumberFormat="1" applyFont="1" applyFill="1" applyBorder="1" applyAlignment="1">
      <alignment horizontal="right" vertical="center" wrapText="1"/>
    </xf>
    <xf numFmtId="176" fontId="9" fillId="0" borderId="19" xfId="37" applyNumberFormat="1" applyFont="1" applyFill="1" applyBorder="1" applyAlignment="1">
      <alignment horizontal="right" vertical="center" wrapText="1"/>
    </xf>
    <xf numFmtId="176" fontId="8" fillId="0" borderId="71" xfId="46" applyNumberFormat="1" applyFont="1" applyFill="1" applyBorder="1" applyAlignment="1">
      <alignment vertical="center" wrapText="1"/>
    </xf>
    <xf numFmtId="176" fontId="8" fillId="0" borderId="18" xfId="34" applyNumberFormat="1" applyFont="1" applyFill="1" applyBorder="1" applyAlignment="1">
      <alignment horizontal="right" vertical="center" wrapText="1"/>
    </xf>
    <xf numFmtId="176" fontId="8" fillId="0" borderId="2" xfId="34" applyNumberFormat="1" applyFont="1" applyFill="1" applyBorder="1" applyAlignment="1">
      <alignment horizontal="right" vertical="center" wrapText="1"/>
    </xf>
    <xf numFmtId="176" fontId="8" fillId="0" borderId="30" xfId="34" applyNumberFormat="1" applyFont="1" applyFill="1" applyBorder="1" applyAlignment="1">
      <alignment horizontal="right" vertical="center" wrapText="1"/>
    </xf>
    <xf numFmtId="176" fontId="8" fillId="0" borderId="71" xfId="34" applyNumberFormat="1" applyFont="1" applyFill="1" applyBorder="1" applyAlignment="1">
      <alignment horizontal="right" vertical="center" wrapText="1"/>
    </xf>
    <xf numFmtId="49" fontId="9" fillId="0" borderId="1" xfId="14" applyNumberFormat="1" applyFont="1" applyFill="1" applyBorder="1" applyAlignment="1">
      <alignment horizontal="center" vertical="center" wrapText="1"/>
    </xf>
    <xf numFmtId="176" fontId="8" fillId="0" borderId="7" xfId="3" applyNumberFormat="1" applyFont="1" applyFill="1" applyBorder="1" applyAlignment="1">
      <alignment vertical="center" wrapText="1"/>
    </xf>
    <xf numFmtId="176" fontId="8" fillId="0" borderId="14" xfId="3" applyNumberFormat="1" applyFont="1" applyFill="1" applyBorder="1" applyAlignment="1">
      <alignment horizontal="right" vertical="center" wrapText="1"/>
    </xf>
    <xf numFmtId="176" fontId="8" fillId="0" borderId="19" xfId="3" applyNumberFormat="1" applyFont="1" applyFill="1" applyBorder="1" applyAlignment="1">
      <alignment horizontal="right" vertical="center" wrapText="1"/>
    </xf>
    <xf numFmtId="176" fontId="8" fillId="0" borderId="14" xfId="38" applyNumberFormat="1" applyFont="1" applyFill="1" applyBorder="1" applyAlignment="1">
      <alignment horizontal="right" vertical="center" wrapText="1"/>
    </xf>
    <xf numFmtId="176" fontId="8" fillId="0" borderId="19" xfId="38" applyNumberFormat="1" applyFont="1" applyFill="1" applyBorder="1" applyAlignment="1">
      <alignment horizontal="right" vertical="center" wrapText="1"/>
    </xf>
    <xf numFmtId="0" fontId="9" fillId="0" borderId="0" xfId="9" applyFont="1" applyFill="1" applyBorder="1" applyAlignment="1">
      <alignment vertical="top" wrapText="1"/>
    </xf>
    <xf numFmtId="0" fontId="10" fillId="0" borderId="1" xfId="9" applyFont="1" applyFill="1" applyBorder="1" applyAlignment="1">
      <alignment horizontal="left" vertical="center" wrapText="1"/>
    </xf>
    <xf numFmtId="176" fontId="104" fillId="0" borderId="19" xfId="46" applyNumberFormat="1" applyFont="1" applyFill="1" applyBorder="1" applyAlignment="1">
      <alignment vertical="center" wrapText="1"/>
    </xf>
    <xf numFmtId="49" fontId="13" fillId="0" borderId="1" xfId="9" applyNumberFormat="1" applyFont="1" applyFill="1" applyBorder="1" applyAlignment="1">
      <alignment horizontal="center" vertical="center" wrapText="1"/>
    </xf>
    <xf numFmtId="176" fontId="13" fillId="0" borderId="14" xfId="9" applyNumberFormat="1" applyFont="1" applyFill="1" applyBorder="1" applyAlignment="1">
      <alignment horizontal="right" vertical="center" wrapText="1"/>
    </xf>
    <xf numFmtId="176" fontId="13" fillId="0" borderId="19" xfId="9" applyNumberFormat="1" applyFont="1" applyFill="1" applyBorder="1" applyAlignment="1">
      <alignment horizontal="right" vertical="center" wrapText="1"/>
    </xf>
    <xf numFmtId="49" fontId="9" fillId="0" borderId="1" xfId="9" applyNumberFormat="1" applyFont="1" applyFill="1" applyBorder="1" applyAlignment="1">
      <alignment horizontal="center" vertical="center" wrapText="1"/>
    </xf>
    <xf numFmtId="49" fontId="69" fillId="0" borderId="1" xfId="9" applyNumberFormat="1" applyFont="1" applyFill="1" applyBorder="1" applyAlignment="1">
      <alignment horizontal="center" vertical="center" wrapText="1"/>
    </xf>
    <xf numFmtId="176" fontId="8" fillId="0" borderId="14" xfId="9" applyNumberFormat="1" applyFont="1" applyFill="1" applyBorder="1" applyAlignment="1">
      <alignment horizontal="right" vertical="center" wrapText="1"/>
    </xf>
    <xf numFmtId="176" fontId="8" fillId="0" borderId="19" xfId="9" applyNumberFormat="1" applyFont="1" applyFill="1" applyBorder="1" applyAlignment="1">
      <alignment horizontal="right" vertical="center" wrapText="1"/>
    </xf>
    <xf numFmtId="49" fontId="21" fillId="0" borderId="1" xfId="9" applyNumberFormat="1" applyFont="1" applyFill="1" applyBorder="1" applyAlignment="1">
      <alignment horizontal="center"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49" fontId="68" fillId="0" borderId="1" xfId="9" applyNumberFormat="1" applyFont="1" applyFill="1" applyBorder="1" applyAlignment="1">
      <alignment horizontal="center" vertical="center" wrapText="1"/>
    </xf>
    <xf numFmtId="49" fontId="8" fillId="0" borderId="23" xfId="9" applyNumberFormat="1" applyFont="1" applyFill="1" applyBorder="1" applyAlignment="1">
      <alignment horizontal="center" vertical="center" wrapText="1"/>
    </xf>
    <xf numFmtId="49" fontId="68" fillId="0" borderId="23" xfId="9" applyNumberFormat="1" applyFont="1" applyFill="1" applyBorder="1" applyAlignment="1">
      <alignment horizontal="center" vertical="center" wrapText="1"/>
    </xf>
    <xf numFmtId="0" fontId="16" fillId="0" borderId="1" xfId="9" applyFont="1" applyFill="1" applyBorder="1" applyAlignment="1">
      <alignment horizontal="left" vertical="center" wrapText="1"/>
    </xf>
    <xf numFmtId="49" fontId="16" fillId="0" borderId="23" xfId="9" applyNumberFormat="1" applyFont="1" applyFill="1" applyBorder="1" applyAlignment="1">
      <alignment horizontal="center" vertical="center" wrapText="1"/>
    </xf>
    <xf numFmtId="172" fontId="82" fillId="0" borderId="23" xfId="5" applyNumberFormat="1" applyFont="1" applyFill="1" applyBorder="1" applyAlignment="1">
      <alignment vertical="center" wrapText="1"/>
    </xf>
    <xf numFmtId="172" fontId="55" fillId="0" borderId="23" xfId="5" applyNumberFormat="1" applyFont="1" applyFill="1" applyBorder="1" applyAlignment="1">
      <alignment vertical="center" wrapText="1"/>
    </xf>
    <xf numFmtId="0" fontId="10" fillId="0" borderId="1" xfId="9" applyFont="1" applyFill="1" applyBorder="1"/>
    <xf numFmtId="0" fontId="81" fillId="0" borderId="1" xfId="9" applyFont="1" applyFill="1" applyBorder="1" applyAlignment="1">
      <alignment horizontal="left" vertical="center" wrapText="1"/>
    </xf>
    <xf numFmtId="0" fontId="14" fillId="0" borderId="1" xfId="9" applyFont="1" applyFill="1" applyBorder="1" applyAlignment="1">
      <alignment vertical="center" wrapText="1"/>
    </xf>
    <xf numFmtId="49" fontId="6" fillId="0" borderId="1" xfId="9" applyNumberFormat="1" applyFont="1" applyFill="1" applyBorder="1" applyAlignment="1">
      <alignment horizontal="center" vertical="center" wrapText="1"/>
    </xf>
    <xf numFmtId="0" fontId="9" fillId="0" borderId="18" xfId="9" applyFont="1" applyFill="1" applyBorder="1"/>
    <xf numFmtId="0" fontId="9" fillId="0" borderId="7" xfId="9" applyFont="1" applyFill="1" applyBorder="1"/>
    <xf numFmtId="176" fontId="8" fillId="0" borderId="9" xfId="34" applyNumberFormat="1" applyFont="1" applyFill="1" applyBorder="1" applyAlignment="1">
      <alignment horizontal="right" vertical="center" wrapText="1"/>
    </xf>
    <xf numFmtId="0" fontId="21" fillId="0" borderId="23" xfId="9" applyFont="1" applyFill="1" applyBorder="1" applyAlignment="1">
      <alignment horizontal="left" vertical="center" wrapText="1"/>
    </xf>
    <xf numFmtId="176" fontId="13" fillId="0" borderId="19" xfId="46" applyNumberFormat="1" applyFont="1" applyFill="1" applyBorder="1" applyAlignment="1" applyProtection="1">
      <alignment vertical="center" wrapText="1"/>
      <protection locked="0"/>
    </xf>
    <xf numFmtId="176" fontId="13" fillId="0" borderId="7" xfId="34" applyNumberFormat="1" applyFont="1" applyFill="1" applyBorder="1" applyAlignment="1" applyProtection="1">
      <alignment horizontal="right" vertical="center" wrapText="1"/>
      <protection locked="0"/>
    </xf>
    <xf numFmtId="176" fontId="13" fillId="0" borderId="1" xfId="34" applyNumberFormat="1" applyFont="1" applyFill="1" applyBorder="1" applyAlignment="1" applyProtection="1">
      <alignment horizontal="right" vertical="center" wrapText="1"/>
      <protection locked="0"/>
    </xf>
    <xf numFmtId="176" fontId="13" fillId="0" borderId="9" xfId="34" applyNumberFormat="1" applyFont="1" applyFill="1" applyBorder="1" applyAlignment="1" applyProtection="1">
      <alignment horizontal="right" vertical="center" wrapText="1"/>
      <protection locked="0"/>
    </xf>
    <xf numFmtId="176" fontId="13" fillId="0" borderId="19" xfId="34" applyNumberFormat="1" applyFont="1" applyFill="1" applyBorder="1" applyAlignment="1" applyProtection="1">
      <alignment horizontal="right" vertical="center" wrapText="1"/>
      <protection locked="0"/>
    </xf>
    <xf numFmtId="176" fontId="9" fillId="0" borderId="14" xfId="24" applyNumberFormat="1" applyFont="1" applyFill="1" applyBorder="1" applyAlignment="1">
      <alignment horizontal="right" vertical="center" wrapText="1"/>
    </xf>
    <xf numFmtId="176" fontId="9" fillId="0" borderId="19" xfId="24" applyNumberFormat="1" applyFont="1" applyFill="1" applyBorder="1" applyAlignment="1">
      <alignment horizontal="right" vertical="center" wrapText="1"/>
    </xf>
    <xf numFmtId="0" fontId="9" fillId="0" borderId="0" xfId="9" applyFont="1" applyFill="1" applyBorder="1" applyAlignment="1">
      <alignment wrapText="1"/>
    </xf>
    <xf numFmtId="172" fontId="9" fillId="0" borderId="23" xfId="5" applyNumberFormat="1" applyFont="1" applyFill="1" applyBorder="1" applyAlignment="1">
      <alignment vertical="center" wrapText="1"/>
    </xf>
    <xf numFmtId="176" fontId="94" fillId="0" borderId="19" xfId="46" applyNumberFormat="1" applyFont="1" applyFill="1" applyBorder="1" applyAlignment="1">
      <alignment vertical="center" wrapText="1"/>
    </xf>
    <xf numFmtId="176" fontId="94" fillId="0" borderId="7" xfId="34" applyNumberFormat="1" applyFont="1" applyFill="1" applyBorder="1" applyAlignment="1">
      <alignment horizontal="right" vertical="center" wrapText="1"/>
    </xf>
    <xf numFmtId="176" fontId="94" fillId="0" borderId="1" xfId="34" applyNumberFormat="1" applyFont="1" applyFill="1" applyBorder="1" applyAlignment="1">
      <alignment horizontal="right" vertical="center" wrapText="1"/>
    </xf>
    <xf numFmtId="176" fontId="94" fillId="0" borderId="14" xfId="34" applyNumberFormat="1" applyFont="1" applyFill="1" applyBorder="1" applyAlignment="1">
      <alignment horizontal="right" vertical="center" wrapText="1"/>
    </xf>
    <xf numFmtId="176" fontId="94" fillId="0" borderId="19" xfId="34" applyNumberFormat="1" applyFont="1" applyFill="1" applyBorder="1" applyAlignment="1">
      <alignment horizontal="right" vertical="center" wrapText="1"/>
    </xf>
    <xf numFmtId="176" fontId="9" fillId="0" borderId="7" xfId="34" applyNumberFormat="1" applyFont="1" applyFill="1" applyBorder="1" applyAlignment="1">
      <alignment horizontal="left" vertical="center" wrapText="1"/>
    </xf>
    <xf numFmtId="176" fontId="9" fillId="0" borderId="1" xfId="34" applyNumberFormat="1" applyFont="1" applyFill="1" applyBorder="1" applyAlignment="1">
      <alignment horizontal="left" vertical="center" wrapText="1"/>
    </xf>
    <xf numFmtId="176" fontId="9" fillId="0" borderId="19" xfId="46" applyNumberFormat="1" applyFont="1" applyFill="1" applyBorder="1" applyAlignment="1"/>
    <xf numFmtId="176" fontId="9" fillId="0" borderId="14" xfId="3" applyNumberFormat="1" applyFont="1" applyFill="1" applyBorder="1" applyAlignment="1">
      <alignment horizontal="right"/>
    </xf>
    <xf numFmtId="176" fontId="9" fillId="0" borderId="19" xfId="3" applyNumberFormat="1" applyFont="1" applyFill="1" applyBorder="1" applyAlignment="1">
      <alignment horizontal="right"/>
    </xf>
    <xf numFmtId="176" fontId="8" fillId="0" borderId="10" xfId="3" applyNumberFormat="1" applyFont="1" applyFill="1" applyBorder="1" applyAlignment="1">
      <alignment horizontal="right" vertical="center" wrapText="1"/>
    </xf>
    <xf numFmtId="176" fontId="8" fillId="0" borderId="71" xfId="3" applyNumberFormat="1" applyFont="1" applyFill="1" applyBorder="1" applyAlignment="1">
      <alignment horizontal="right" vertical="center" wrapText="1"/>
    </xf>
    <xf numFmtId="0" fontId="8" fillId="0" borderId="1" xfId="9" applyFont="1" applyFill="1" applyBorder="1" applyAlignment="1">
      <alignment horizontal="justify" vertical="top" wrapText="1"/>
    </xf>
    <xf numFmtId="176" fontId="8" fillId="0" borderId="0" xfId="34" applyNumberFormat="1" applyFont="1" applyFill="1" applyBorder="1" applyAlignment="1">
      <alignment horizontal="right" vertical="center" wrapText="1"/>
    </xf>
    <xf numFmtId="176" fontId="6" fillId="0" borderId="0" xfId="3" applyNumberFormat="1" applyFont="1" applyFill="1" applyBorder="1"/>
    <xf numFmtId="176" fontId="9" fillId="0" borderId="14" xfId="24" applyNumberFormat="1" applyFont="1" applyFill="1" applyBorder="1" applyAlignment="1">
      <alignment horizontal="right"/>
    </xf>
    <xf numFmtId="176" fontId="9" fillId="0" borderId="19" xfId="24" applyNumberFormat="1" applyFont="1" applyFill="1" applyBorder="1" applyAlignment="1">
      <alignment horizontal="right"/>
    </xf>
    <xf numFmtId="0" fontId="73" fillId="0" borderId="7" xfId="3" applyFont="1" applyFill="1" applyBorder="1" applyAlignment="1">
      <alignment horizontal="left" vertical="center" wrapText="1"/>
    </xf>
    <xf numFmtId="176" fontId="16" fillId="0" borderId="72" xfId="46" applyNumberFormat="1" applyFont="1" applyFill="1" applyBorder="1" applyAlignment="1"/>
    <xf numFmtId="176" fontId="16" fillId="0" borderId="0" xfId="3" applyNumberFormat="1" applyFont="1" applyFill="1" applyBorder="1"/>
    <xf numFmtId="176" fontId="16" fillId="0" borderId="0" xfId="3" applyNumberFormat="1" applyFont="1" applyFill="1" applyBorder="1" applyAlignment="1">
      <alignment horizontal="right"/>
    </xf>
    <xf numFmtId="176" fontId="16" fillId="0" borderId="72" xfId="3" applyNumberFormat="1" applyFont="1" applyFill="1" applyBorder="1" applyAlignment="1">
      <alignment horizontal="right"/>
    </xf>
    <xf numFmtId="176" fontId="6" fillId="0" borderId="72" xfId="46" applyNumberFormat="1" applyFont="1" applyFill="1" applyBorder="1" applyAlignment="1"/>
    <xf numFmtId="176" fontId="6" fillId="0" borderId="0" xfId="3" applyNumberFormat="1" applyFont="1" applyFill="1" applyBorder="1" applyAlignment="1">
      <alignment horizontal="right"/>
    </xf>
    <xf numFmtId="176" fontId="6" fillId="0" borderId="72" xfId="3" applyNumberFormat="1" applyFont="1" applyFill="1" applyBorder="1" applyAlignment="1">
      <alignment horizontal="right"/>
    </xf>
    <xf numFmtId="176" fontId="9" fillId="0" borderId="13" xfId="3" applyNumberFormat="1" applyFont="1" applyFill="1" applyBorder="1" applyAlignment="1">
      <alignment horizontal="right" vertical="center" wrapText="1"/>
    </xf>
    <xf numFmtId="176" fontId="9" fillId="0" borderId="19" xfId="3" applyNumberFormat="1" applyFont="1" applyFill="1" applyBorder="1" applyAlignment="1">
      <alignment horizontal="right" vertical="center" wrapText="1"/>
    </xf>
    <xf numFmtId="172" fontId="9" fillId="0" borderId="16" xfId="5" applyNumberFormat="1" applyFont="1" applyFill="1" applyBorder="1" applyAlignment="1">
      <alignment vertical="center" wrapText="1"/>
    </xf>
    <xf numFmtId="176" fontId="10" fillId="0" borderId="7" xfId="3" applyNumberFormat="1" applyFont="1" applyFill="1" applyBorder="1" applyAlignment="1">
      <alignment horizontal="right" vertical="center" wrapText="1"/>
    </xf>
    <xf numFmtId="176" fontId="10" fillId="0" borderId="13" xfId="3" applyNumberFormat="1" applyFont="1" applyFill="1" applyBorder="1" applyAlignment="1">
      <alignment horizontal="right" vertical="center" wrapText="1"/>
    </xf>
    <xf numFmtId="176" fontId="10" fillId="0" borderId="19" xfId="3" applyNumberFormat="1" applyFont="1" applyFill="1" applyBorder="1" applyAlignment="1">
      <alignment horizontal="right" vertical="center" wrapText="1"/>
    </xf>
    <xf numFmtId="176" fontId="13" fillId="0" borderId="71" xfId="46" applyNumberFormat="1" applyFont="1" applyFill="1" applyBorder="1" applyAlignment="1">
      <alignment vertical="center" wrapText="1"/>
    </xf>
    <xf numFmtId="176" fontId="8" fillId="0" borderId="18" xfId="34" applyNumberFormat="1" applyFont="1" applyFill="1" applyBorder="1" applyAlignment="1">
      <alignment vertical="center" wrapText="1"/>
    </xf>
    <xf numFmtId="176" fontId="13" fillId="0" borderId="10" xfId="34" applyNumberFormat="1" applyFont="1" applyFill="1" applyBorder="1" applyAlignment="1">
      <alignment horizontal="right" vertical="center" wrapText="1"/>
    </xf>
    <xf numFmtId="176" fontId="13" fillId="0" borderId="71" xfId="34" applyNumberFormat="1" applyFont="1" applyFill="1" applyBorder="1" applyAlignment="1">
      <alignment horizontal="right" vertical="center" wrapText="1"/>
    </xf>
    <xf numFmtId="176" fontId="8" fillId="0" borderId="10" xfId="34" applyNumberFormat="1" applyFont="1" applyFill="1" applyBorder="1" applyAlignment="1">
      <alignment horizontal="right" vertical="center" wrapText="1"/>
    </xf>
    <xf numFmtId="176" fontId="10" fillId="0" borderId="71" xfId="46" applyNumberFormat="1" applyFont="1" applyFill="1" applyBorder="1" applyAlignment="1">
      <alignment vertical="center" wrapText="1"/>
    </xf>
    <xf numFmtId="176" fontId="10" fillId="0" borderId="18" xfId="3" applyNumberFormat="1" applyFont="1" applyFill="1" applyBorder="1" applyAlignment="1">
      <alignment horizontal="right" vertical="center" wrapText="1"/>
    </xf>
    <xf numFmtId="176" fontId="10" fillId="0" borderId="10" xfId="3" applyNumberFormat="1" applyFont="1" applyFill="1" applyBorder="1" applyAlignment="1">
      <alignment horizontal="right" vertical="center" wrapText="1"/>
    </xf>
    <xf numFmtId="176" fontId="10" fillId="0" borderId="71" xfId="3" applyNumberFormat="1" applyFont="1" applyFill="1" applyBorder="1" applyAlignment="1">
      <alignment horizontal="right" vertical="center" wrapText="1"/>
    </xf>
    <xf numFmtId="0" fontId="9" fillId="0" borderId="10" xfId="9" applyFont="1" applyFill="1" applyBorder="1"/>
    <xf numFmtId="176" fontId="10" fillId="0" borderId="19" xfId="46" applyNumberFormat="1" applyFont="1" applyFill="1" applyBorder="1" applyAlignment="1"/>
    <xf numFmtId="176" fontId="10" fillId="0" borderId="7" xfId="34" applyNumberFormat="1" applyFont="1" applyFill="1" applyBorder="1" applyAlignment="1">
      <alignment horizontal="right"/>
    </xf>
    <xf numFmtId="176" fontId="10" fillId="0" borderId="1" xfId="34" applyNumberFormat="1" applyFont="1" applyFill="1" applyBorder="1" applyAlignment="1">
      <alignment horizontal="right"/>
    </xf>
    <xf numFmtId="176" fontId="10" fillId="0" borderId="14" xfId="34" applyNumberFormat="1" applyFont="1" applyFill="1" applyBorder="1" applyAlignment="1">
      <alignment horizontal="right"/>
    </xf>
    <xf numFmtId="176" fontId="10" fillId="0" borderId="19" xfId="34" applyNumberFormat="1" applyFont="1" applyFill="1" applyBorder="1" applyAlignment="1">
      <alignment horizontal="right"/>
    </xf>
    <xf numFmtId="0" fontId="9" fillId="0" borderId="1" xfId="9" applyFont="1" applyFill="1" applyBorder="1" applyAlignment="1">
      <alignment vertical="justify" wrapText="1"/>
    </xf>
    <xf numFmtId="176" fontId="9" fillId="0" borderId="7" xfId="34" applyNumberFormat="1" applyFont="1" applyFill="1" applyBorder="1" applyAlignment="1">
      <alignment horizontal="right"/>
    </xf>
    <xf numFmtId="176" fontId="9" fillId="0" borderId="1" xfId="34" applyNumberFormat="1" applyFont="1" applyFill="1" applyBorder="1" applyAlignment="1">
      <alignment horizontal="right"/>
    </xf>
    <xf numFmtId="176" fontId="9" fillId="0" borderId="14" xfId="34" applyNumberFormat="1" applyFont="1" applyFill="1" applyBorder="1" applyAlignment="1">
      <alignment horizontal="right"/>
    </xf>
    <xf numFmtId="176" fontId="9" fillId="0" borderId="19" xfId="34" applyNumberFormat="1" applyFont="1" applyFill="1" applyBorder="1" applyAlignment="1">
      <alignment horizontal="right"/>
    </xf>
    <xf numFmtId="176" fontId="13" fillId="0" borderId="30" xfId="34" applyNumberFormat="1" applyFont="1" applyFill="1" applyBorder="1" applyAlignment="1">
      <alignment horizontal="right" vertical="center" wrapText="1"/>
    </xf>
    <xf numFmtId="172" fontId="9" fillId="7" borderId="1" xfId="5" applyNumberFormat="1" applyFont="1" applyFill="1" applyBorder="1" applyAlignment="1">
      <alignment horizontal="left" vertical="center" wrapText="1"/>
    </xf>
    <xf numFmtId="176" fontId="10" fillId="0" borderId="71" xfId="46" applyNumberFormat="1" applyFont="1" applyFill="1" applyBorder="1" applyAlignment="1"/>
    <xf numFmtId="176" fontId="10" fillId="0" borderId="30" xfId="34" applyNumberFormat="1" applyFont="1" applyFill="1" applyBorder="1" applyAlignment="1">
      <alignment horizontal="right"/>
    </xf>
    <xf numFmtId="176" fontId="10" fillId="0" borderId="71" xfId="34" applyNumberFormat="1" applyFont="1" applyFill="1" applyBorder="1" applyAlignment="1">
      <alignment horizontal="right"/>
    </xf>
    <xf numFmtId="0" fontId="73" fillId="0" borderId="1" xfId="9" applyFont="1" applyFill="1" applyBorder="1" applyAlignment="1">
      <alignment vertical="center" wrapText="1"/>
    </xf>
    <xf numFmtId="176" fontId="8" fillId="0" borderId="66" xfId="46" applyNumberFormat="1" applyFont="1" applyFill="1" applyBorder="1" applyAlignment="1">
      <alignment vertical="center" wrapText="1"/>
    </xf>
    <xf numFmtId="176" fontId="8" fillId="0" borderId="59" xfId="34" applyNumberFormat="1" applyFont="1" applyFill="1" applyBorder="1" applyAlignment="1">
      <alignment horizontal="right" vertical="center" wrapText="1"/>
    </xf>
    <xf numFmtId="176" fontId="8" fillId="0" borderId="4" xfId="34" applyNumberFormat="1" applyFont="1" applyFill="1" applyBorder="1" applyAlignment="1">
      <alignment horizontal="right" vertical="center" wrapText="1"/>
    </xf>
    <xf numFmtId="176" fontId="8" fillId="0" borderId="74" xfId="34" applyNumberFormat="1" applyFont="1" applyFill="1" applyBorder="1" applyAlignment="1">
      <alignment horizontal="right" vertical="center" wrapText="1"/>
    </xf>
    <xf numFmtId="176" fontId="8" fillId="0" borderId="66" xfId="34" applyNumberFormat="1" applyFont="1" applyFill="1" applyBorder="1" applyAlignment="1">
      <alignment horizontal="right" vertical="center" wrapText="1"/>
    </xf>
    <xf numFmtId="176" fontId="10" fillId="0" borderId="20" xfId="46" applyNumberFormat="1" applyFont="1" applyFill="1" applyBorder="1" applyAlignment="1"/>
    <xf numFmtId="176" fontId="10" fillId="0" borderId="18" xfId="34" applyNumberFormat="1" applyFont="1" applyFill="1" applyBorder="1" applyAlignment="1">
      <alignment horizontal="right"/>
    </xf>
    <xf numFmtId="176" fontId="10" fillId="0" borderId="2" xfId="34" applyNumberFormat="1" applyFont="1" applyFill="1" applyBorder="1" applyAlignment="1">
      <alignment horizontal="right"/>
    </xf>
    <xf numFmtId="176" fontId="10" fillId="0" borderId="20" xfId="34" applyNumberFormat="1" applyFont="1" applyFill="1" applyBorder="1" applyAlignment="1">
      <alignment horizontal="right"/>
    </xf>
    <xf numFmtId="176" fontId="8" fillId="0" borderId="9" xfId="46" applyNumberFormat="1" applyFont="1" applyFill="1" applyBorder="1" applyAlignment="1">
      <alignment vertical="center" wrapText="1"/>
    </xf>
    <xf numFmtId="176" fontId="9" fillId="0" borderId="9" xfId="46" applyNumberFormat="1" applyFont="1" applyFill="1" applyBorder="1" applyAlignment="1"/>
    <xf numFmtId="176" fontId="9" fillId="0" borderId="9" xfId="34" applyNumberFormat="1" applyFont="1" applyFill="1" applyBorder="1" applyAlignment="1">
      <alignment horizontal="right"/>
    </xf>
    <xf numFmtId="176" fontId="8" fillId="0" borderId="3" xfId="46" applyNumberFormat="1" applyFont="1" applyFill="1" applyBorder="1" applyAlignment="1">
      <alignment vertical="center" wrapText="1"/>
    </xf>
    <xf numFmtId="176" fontId="8" fillId="0" borderId="3" xfId="34" applyNumberFormat="1" applyFont="1" applyFill="1" applyBorder="1" applyAlignment="1">
      <alignment horizontal="right" vertical="center" wrapText="1"/>
    </xf>
    <xf numFmtId="166" fontId="13" fillId="0" borderId="9" xfId="34" applyNumberFormat="1" applyFont="1" applyFill="1" applyBorder="1" applyAlignment="1">
      <alignment horizontal="right" vertical="center" wrapText="1"/>
    </xf>
    <xf numFmtId="168" fontId="29" fillId="0" borderId="0" xfId="9" applyNumberFormat="1" applyFont="1" applyFill="1" applyAlignment="1">
      <alignment vertical="center"/>
    </xf>
    <xf numFmtId="168" fontId="16" fillId="0" borderId="0" xfId="3" applyNumberFormat="1" applyFont="1" applyFill="1"/>
    <xf numFmtId="168" fontId="19" fillId="0" borderId="0" xfId="3" applyNumberFormat="1" applyFont="1" applyFill="1"/>
    <xf numFmtId="168" fontId="17" fillId="0" borderId="0" xfId="37" applyNumberFormat="1" applyFont="1" applyFill="1" applyBorder="1" applyAlignment="1">
      <alignment horizontal="left" vertical="center" wrapText="1"/>
    </xf>
    <xf numFmtId="168" fontId="6" fillId="0" borderId="0" xfId="3" applyNumberFormat="1" applyFont="1" applyFill="1" applyAlignment="1">
      <alignment horizontal="left" vertical="center"/>
    </xf>
    <xf numFmtId="0" fontId="29" fillId="0" borderId="0" xfId="0" applyFont="1" applyFill="1" applyAlignment="1">
      <alignment horizontal="right" vertical="center"/>
    </xf>
    <xf numFmtId="168" fontId="29" fillId="0" borderId="0" xfId="9" applyNumberFormat="1" applyFont="1" applyFill="1" applyAlignment="1">
      <alignment horizontal="right" vertical="center"/>
    </xf>
    <xf numFmtId="0" fontId="33" fillId="0" borderId="0" xfId="7" applyFont="1" applyAlignment="1">
      <alignment horizontal="right"/>
    </xf>
    <xf numFmtId="175" fontId="9" fillId="0" borderId="19" xfId="46" applyNumberFormat="1" applyFont="1" applyFill="1" applyBorder="1" applyAlignment="1">
      <alignment horizontal="right" wrapText="1" indent="1"/>
    </xf>
    <xf numFmtId="175" fontId="9" fillId="0" borderId="19" xfId="46" applyNumberFormat="1" applyFont="1" applyFill="1" applyBorder="1" applyAlignment="1">
      <alignment horizontal="right" vertical="center" wrapText="1" indent="1"/>
    </xf>
    <xf numFmtId="175" fontId="8" fillId="0" borderId="19" xfId="46" applyNumberFormat="1" applyFont="1" applyFill="1" applyBorder="1" applyAlignment="1">
      <alignment horizontal="right" vertical="center" wrapText="1" indent="1"/>
    </xf>
    <xf numFmtId="175" fontId="13" fillId="0" borderId="19" xfId="46" applyNumberFormat="1" applyFont="1" applyFill="1" applyBorder="1" applyAlignment="1">
      <alignment horizontal="right" vertical="center" wrapText="1" indent="1"/>
    </xf>
    <xf numFmtId="175" fontId="10" fillId="0" borderId="19" xfId="46" applyNumberFormat="1" applyFont="1" applyFill="1" applyBorder="1" applyAlignment="1">
      <alignment horizontal="right" vertical="center" wrapText="1" indent="1"/>
    </xf>
    <xf numFmtId="172" fontId="9" fillId="0" borderId="7" xfId="5" applyNumberFormat="1" applyFont="1" applyFill="1" applyBorder="1" applyAlignment="1">
      <alignment horizontal="left" vertical="center" wrapText="1"/>
    </xf>
    <xf numFmtId="49" fontId="9" fillId="0" borderId="14" xfId="3" applyNumberFormat="1" applyFont="1" applyFill="1" applyBorder="1" applyAlignment="1">
      <alignment horizontal="center" vertical="center" wrapText="1"/>
    </xf>
    <xf numFmtId="0" fontId="12" fillId="0" borderId="1" xfId="3" applyFont="1" applyFill="1" applyBorder="1" applyAlignment="1">
      <alignment horizontal="left" vertical="center" wrapText="1"/>
    </xf>
    <xf numFmtId="0" fontId="6" fillId="0" borderId="0" xfId="3" applyFont="1" applyFill="1" applyBorder="1" applyAlignment="1">
      <alignment horizontal="left" indent="1"/>
    </xf>
    <xf numFmtId="176" fontId="9" fillId="0" borderId="7" xfId="3" applyNumberFormat="1" applyFont="1" applyFill="1" applyBorder="1" applyAlignment="1">
      <alignment horizontal="right" vertical="center" wrapText="1" indent="1"/>
    </xf>
    <xf numFmtId="176" fontId="9" fillId="0" borderId="13" xfId="3" applyNumberFormat="1" applyFont="1" applyFill="1" applyBorder="1" applyAlignment="1">
      <alignment horizontal="right" vertical="center" wrapText="1" indent="1"/>
    </xf>
    <xf numFmtId="176" fontId="9" fillId="0" borderId="19" xfId="3" applyNumberFormat="1" applyFont="1" applyFill="1" applyBorder="1" applyAlignment="1">
      <alignment horizontal="right" vertical="center" wrapText="1" indent="1"/>
    </xf>
    <xf numFmtId="0" fontId="6" fillId="0" borderId="0" xfId="3" applyFont="1" applyFill="1" applyBorder="1" applyAlignment="1">
      <alignment horizontal="right" indent="1"/>
    </xf>
    <xf numFmtId="166" fontId="10" fillId="0" borderId="9" xfId="34" applyNumberFormat="1" applyFont="1" applyFill="1" applyBorder="1" applyAlignment="1">
      <alignment horizontal="right" vertical="center" wrapText="1" indent="1"/>
    </xf>
    <xf numFmtId="166" fontId="9" fillId="0" borderId="9" xfId="24" applyNumberFormat="1" applyFont="1" applyFill="1" applyBorder="1" applyAlignment="1">
      <alignment horizontal="right" indent="1"/>
    </xf>
    <xf numFmtId="166" fontId="9" fillId="0" borderId="9" xfId="34" applyNumberFormat="1" applyFont="1" applyFill="1" applyBorder="1" applyAlignment="1">
      <alignment horizontal="right" vertical="center" wrapText="1" indent="1"/>
    </xf>
    <xf numFmtId="166" fontId="8" fillId="0" borderId="19" xfId="46" applyNumberFormat="1" applyFont="1" applyFill="1" applyBorder="1" applyAlignment="1">
      <alignment horizontal="right" vertical="center" wrapText="1" indent="1"/>
    </xf>
    <xf numFmtId="166" fontId="8" fillId="0" borderId="7" xfId="34" applyNumberFormat="1" applyFont="1" applyFill="1" applyBorder="1" applyAlignment="1">
      <alignment horizontal="right" vertical="center" wrapText="1" indent="1"/>
    </xf>
    <xf numFmtId="166" fontId="8" fillId="0" borderId="14" xfId="34" applyNumberFormat="1" applyFont="1" applyFill="1" applyBorder="1" applyAlignment="1">
      <alignment horizontal="right" vertical="center" wrapText="1" indent="1"/>
    </xf>
    <xf numFmtId="166" fontId="8" fillId="0" borderId="19" xfId="34" applyNumberFormat="1" applyFont="1" applyFill="1" applyBorder="1" applyAlignment="1">
      <alignment horizontal="right" vertical="center" wrapText="1" indent="1"/>
    </xf>
    <xf numFmtId="166" fontId="6" fillId="0" borderId="0" xfId="3" applyNumberFormat="1" applyFont="1" applyFill="1" applyBorder="1" applyAlignment="1">
      <alignment horizontal="right" indent="1"/>
    </xf>
    <xf numFmtId="166" fontId="9" fillId="0" borderId="19" xfId="46" applyNumberFormat="1" applyFont="1" applyFill="1" applyBorder="1" applyAlignment="1">
      <alignment horizontal="right" indent="1"/>
    </xf>
    <xf numFmtId="166" fontId="9" fillId="0" borderId="14" xfId="34" applyNumberFormat="1" applyFont="1" applyFill="1" applyBorder="1" applyAlignment="1">
      <alignment horizontal="right" indent="1"/>
    </xf>
    <xf numFmtId="166" fontId="9" fillId="0" borderId="19" xfId="34" applyNumberFormat="1" applyFont="1" applyFill="1" applyBorder="1" applyAlignment="1">
      <alignment horizontal="right" indent="1"/>
    </xf>
    <xf numFmtId="175" fontId="10" fillId="0" borderId="71" xfId="46" applyNumberFormat="1" applyFont="1" applyFill="1" applyBorder="1" applyAlignment="1">
      <alignment horizontal="right" indent="1"/>
    </xf>
    <xf numFmtId="0" fontId="10" fillId="0" borderId="1" xfId="9" applyFont="1" applyFill="1" applyBorder="1" applyAlignment="1">
      <alignment wrapText="1"/>
    </xf>
    <xf numFmtId="0" fontId="13" fillId="0" borderId="1" xfId="9" applyFont="1" applyFill="1" applyBorder="1" applyAlignment="1">
      <alignment horizontal="left" vertical="center" wrapText="1"/>
    </xf>
    <xf numFmtId="0" fontId="8" fillId="0" borderId="23" xfId="9" applyFont="1" applyFill="1" applyBorder="1" applyAlignment="1">
      <alignment horizontal="left" vertical="center" wrapText="1"/>
    </xf>
    <xf numFmtId="172" fontId="9" fillId="0" borderId="16" xfId="5" applyNumberFormat="1" applyFont="1" applyFill="1" applyBorder="1" applyAlignment="1">
      <alignment horizontal="left" vertical="center" wrapText="1"/>
    </xf>
    <xf numFmtId="176" fontId="9" fillId="0" borderId="7" xfId="34" applyNumberFormat="1" applyFont="1" applyFill="1" applyBorder="1" applyAlignment="1">
      <alignment horizontal="left" vertical="center" wrapText="1" indent="1"/>
    </xf>
    <xf numFmtId="176" fontId="9" fillId="0" borderId="1" xfId="34" applyNumberFormat="1" applyFont="1" applyFill="1" applyBorder="1" applyAlignment="1">
      <alignment horizontal="left" vertical="center" wrapText="1" indent="1"/>
    </xf>
    <xf numFmtId="176" fontId="9" fillId="0" borderId="14" xfId="34" applyNumberFormat="1" applyFont="1" applyFill="1" applyBorder="1" applyAlignment="1">
      <alignment horizontal="left" vertical="center" wrapText="1" indent="1"/>
    </xf>
    <xf numFmtId="176" fontId="9" fillId="0" borderId="19" xfId="34" applyNumberFormat="1" applyFont="1" applyFill="1" applyBorder="1" applyAlignment="1">
      <alignment horizontal="left" vertical="center" wrapText="1" indent="1"/>
    </xf>
    <xf numFmtId="176" fontId="9" fillId="0" borderId="19" xfId="46" applyNumberFormat="1" applyFont="1" applyFill="1" applyBorder="1" applyAlignment="1">
      <alignment horizontal="left" vertical="center" wrapText="1" indent="1"/>
    </xf>
    <xf numFmtId="166" fontId="9" fillId="0" borderId="1" xfId="5" applyNumberFormat="1" applyFont="1" applyFill="1" applyBorder="1" applyAlignment="1">
      <alignment horizontal="left" vertical="center" wrapText="1"/>
    </xf>
    <xf numFmtId="49" fontId="48" fillId="0" borderId="75" xfId="5" applyNumberFormat="1" applyFont="1" applyFill="1" applyBorder="1" applyAlignment="1">
      <alignment horizontal="center" vertical="center" wrapText="1"/>
    </xf>
    <xf numFmtId="0" fontId="37" fillId="0" borderId="24" xfId="5" applyFont="1" applyFill="1" applyBorder="1" applyAlignment="1">
      <alignment horizontal="center" vertical="center"/>
    </xf>
    <xf numFmtId="168" fontId="6" fillId="0" borderId="46" xfId="3" applyNumberFormat="1" applyFont="1" applyFill="1" applyBorder="1"/>
    <xf numFmtId="176" fontId="73" fillId="0" borderId="19" xfId="46" applyNumberFormat="1" applyFont="1" applyFill="1" applyBorder="1" applyAlignment="1">
      <alignment horizontal="right" vertical="center" wrapText="1"/>
    </xf>
    <xf numFmtId="49" fontId="39" fillId="0" borderId="30" xfId="5" applyNumberFormat="1" applyFont="1" applyFill="1" applyBorder="1" applyAlignment="1">
      <alignment horizontal="center" vertical="center" wrapText="1"/>
    </xf>
    <xf numFmtId="49" fontId="37" fillId="0" borderId="14" xfId="5" applyNumberFormat="1" applyFont="1" applyFill="1" applyBorder="1" applyAlignment="1">
      <alignment horizontal="center" vertical="center" wrapText="1"/>
    </xf>
    <xf numFmtId="49" fontId="37" fillId="0" borderId="65" xfId="5" applyNumberFormat="1" applyFont="1" applyFill="1" applyBorder="1" applyAlignment="1">
      <alignment horizontal="center" vertical="center" wrapText="1"/>
    </xf>
    <xf numFmtId="49" fontId="37" fillId="0" borderId="58" xfId="5" applyNumberFormat="1" applyFont="1" applyFill="1" applyBorder="1" applyAlignment="1">
      <alignment horizontal="center" vertical="center" wrapText="1"/>
    </xf>
    <xf numFmtId="49" fontId="37" fillId="0" borderId="73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168" fontId="37" fillId="0" borderId="15" xfId="5" applyNumberFormat="1" applyFont="1" applyFill="1" applyBorder="1" applyAlignment="1">
      <alignment horizontal="right" vertical="center" wrapText="1"/>
    </xf>
    <xf numFmtId="168" fontId="37" fillId="0" borderId="12" xfId="5" applyNumberFormat="1" applyFont="1" applyFill="1" applyBorder="1" applyAlignment="1">
      <alignment horizontal="right" vertical="center" wrapText="1"/>
    </xf>
    <xf numFmtId="168" fontId="76" fillId="0" borderId="71" xfId="5" applyNumberFormat="1" applyFont="1" applyFill="1" applyBorder="1" applyAlignment="1">
      <alignment horizontal="right" vertical="center" wrapText="1"/>
    </xf>
    <xf numFmtId="168" fontId="55" fillId="0" borderId="19" xfId="5" applyNumberFormat="1" applyFont="1" applyFill="1" applyBorder="1" applyAlignment="1">
      <alignment horizontal="right" vertical="center" wrapText="1"/>
    </xf>
    <xf numFmtId="168" fontId="55" fillId="0" borderId="70" xfId="5" applyNumberFormat="1" applyFont="1" applyFill="1" applyBorder="1" applyAlignment="1">
      <alignment horizontal="right" vertical="center" wrapText="1"/>
    </xf>
    <xf numFmtId="168" fontId="55" fillId="0" borderId="72" xfId="5" applyNumberFormat="1" applyFont="1" applyFill="1" applyBorder="1" applyAlignment="1">
      <alignment horizontal="right" vertical="center" wrapText="1"/>
    </xf>
    <xf numFmtId="168" fontId="76" fillId="0" borderId="67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 wrapText="1"/>
    </xf>
    <xf numFmtId="0" fontId="9" fillId="0" borderId="1" xfId="9" applyFont="1" applyBorder="1" applyAlignment="1">
      <alignment horizontal="center" vertical="center" wrapText="1"/>
    </xf>
    <xf numFmtId="166" fontId="9" fillId="0" borderId="1" xfId="3" applyNumberFormat="1" applyFont="1" applyBorder="1" applyAlignment="1">
      <alignment horizontal="center" vertical="center"/>
    </xf>
    <xf numFmtId="0" fontId="28" fillId="0" borderId="0" xfId="27" applyFont="1" applyFill="1" applyAlignment="1"/>
    <xf numFmtId="0" fontId="9" fillId="0" borderId="0" xfId="9" applyFont="1" applyAlignment="1">
      <alignment horizontal="left"/>
    </xf>
    <xf numFmtId="0" fontId="29" fillId="0" borderId="0" xfId="9" applyFont="1"/>
    <xf numFmtId="0" fontId="9" fillId="0" borderId="1" xfId="9" applyFont="1" applyBorder="1" applyAlignment="1">
      <alignment horizontal="left" vertical="center" wrapText="1"/>
    </xf>
    <xf numFmtId="168" fontId="9" fillId="0" borderId="1" xfId="9" applyNumberFormat="1" applyFont="1" applyBorder="1" applyAlignment="1">
      <alignment horizontal="center" vertical="center" wrapText="1"/>
    </xf>
    <xf numFmtId="164" fontId="9" fillId="0" borderId="0" xfId="9" applyNumberFormat="1" applyFont="1"/>
    <xf numFmtId="0" fontId="17" fillId="0" borderId="1" xfId="9" applyFont="1" applyBorder="1" applyAlignment="1">
      <alignment horizontal="left" vertical="center" wrapText="1"/>
    </xf>
    <xf numFmtId="168" fontId="17" fillId="0" borderId="1" xfId="9" applyNumberFormat="1" applyFont="1" applyBorder="1" applyAlignment="1">
      <alignment horizontal="center" vertical="center" wrapText="1"/>
    </xf>
    <xf numFmtId="164" fontId="17" fillId="0" borderId="0" xfId="9" applyNumberFormat="1" applyFont="1"/>
    <xf numFmtId="0" fontId="17" fillId="0" borderId="0" xfId="9" applyFont="1"/>
    <xf numFmtId="0" fontId="10" fillId="0" borderId="1" xfId="9" applyFont="1" applyBorder="1" applyAlignment="1">
      <alignment horizontal="left" vertical="center" wrapText="1"/>
    </xf>
    <xf numFmtId="168" fontId="10" fillId="0" borderId="1" xfId="9" applyNumberFormat="1" applyFont="1" applyBorder="1" applyAlignment="1">
      <alignment horizontal="center" vertical="center" wrapText="1"/>
    </xf>
    <xf numFmtId="164" fontId="10" fillId="0" borderId="0" xfId="9" applyNumberFormat="1" applyFont="1"/>
    <xf numFmtId="0" fontId="10" fillId="0" borderId="0" xfId="9" applyFont="1"/>
    <xf numFmtId="0" fontId="9" fillId="0" borderId="0" xfId="9" applyFont="1" applyBorder="1"/>
    <xf numFmtId="0" fontId="29" fillId="0" borderId="0" xfId="9" applyFont="1" applyAlignment="1">
      <alignment horizontal="left"/>
    </xf>
    <xf numFmtId="0" fontId="33" fillId="0" borderId="0" xfId="7" applyFont="1" applyAlignment="1"/>
    <xf numFmtId="0" fontId="22" fillId="0" borderId="0" xfId="9" applyFont="1" applyAlignment="1">
      <alignment vertical="center" wrapText="1"/>
    </xf>
    <xf numFmtId="0" fontId="22" fillId="0" borderId="0" xfId="32" applyFont="1" applyAlignment="1"/>
    <xf numFmtId="168" fontId="10" fillId="0" borderId="2" xfId="9" applyNumberFormat="1" applyFont="1" applyBorder="1" applyAlignment="1">
      <alignment horizontal="center" vertical="center" wrapText="1"/>
    </xf>
    <xf numFmtId="0" fontId="10" fillId="0" borderId="23" xfId="27" applyFont="1" applyBorder="1" applyAlignment="1">
      <alignment horizontal="center" vertical="center" wrapText="1"/>
    </xf>
    <xf numFmtId="0" fontId="9" fillId="0" borderId="2" xfId="9" applyFont="1" applyBorder="1" applyAlignment="1">
      <alignment horizontal="left" vertical="center" wrapText="1"/>
    </xf>
    <xf numFmtId="168" fontId="9" fillId="0" borderId="2" xfId="9" applyNumberFormat="1" applyFont="1" applyBorder="1" applyAlignment="1">
      <alignment horizontal="center" vertical="center" wrapText="1"/>
    </xf>
    <xf numFmtId="0" fontId="10" fillId="0" borderId="4" xfId="9" applyFont="1" applyBorder="1" applyAlignment="1">
      <alignment horizontal="left" vertical="center" wrapText="1"/>
    </xf>
    <xf numFmtId="168" fontId="10" fillId="0" borderId="4" xfId="9" applyNumberFormat="1" applyFont="1" applyBorder="1" applyAlignment="1">
      <alignment horizontal="center" vertical="center" wrapText="1"/>
    </xf>
    <xf numFmtId="0" fontId="9" fillId="0" borderId="80" xfId="9" applyFont="1" applyBorder="1" applyAlignment="1">
      <alignment horizontal="left" vertical="center" wrapText="1"/>
    </xf>
    <xf numFmtId="168" fontId="9" fillId="0" borderId="80" xfId="9" applyNumberFormat="1" applyFont="1" applyBorder="1" applyAlignment="1">
      <alignment horizontal="center" vertical="center" wrapText="1"/>
    </xf>
    <xf numFmtId="168" fontId="9" fillId="0" borderId="30" xfId="9" applyNumberFormat="1" applyFont="1" applyBorder="1" applyAlignment="1">
      <alignment horizontal="center" vertical="center" wrapText="1"/>
    </xf>
    <xf numFmtId="168" fontId="9" fillId="0" borderId="14" xfId="9" applyNumberFormat="1" applyFont="1" applyBorder="1" applyAlignment="1">
      <alignment horizontal="center" vertical="center" wrapText="1"/>
    </xf>
    <xf numFmtId="168" fontId="10" fillId="0" borderId="14" xfId="9" applyNumberFormat="1" applyFont="1" applyBorder="1" applyAlignment="1">
      <alignment horizontal="center" vertical="center" wrapText="1"/>
    </xf>
    <xf numFmtId="168" fontId="10" fillId="0" borderId="74" xfId="9" applyNumberFormat="1" applyFont="1" applyBorder="1" applyAlignment="1">
      <alignment horizontal="center" vertical="center" wrapText="1"/>
    </xf>
    <xf numFmtId="168" fontId="9" fillId="0" borderId="81" xfId="9" applyNumberFormat="1" applyFont="1" applyBorder="1" applyAlignment="1">
      <alignment horizontal="center" vertical="center" wrapText="1"/>
    </xf>
    <xf numFmtId="0" fontId="9" fillId="0" borderId="72" xfId="9" applyFont="1" applyBorder="1" applyAlignment="1"/>
    <xf numFmtId="0" fontId="67" fillId="0" borderId="48" xfId="9" applyFont="1" applyBorder="1" applyAlignment="1">
      <alignment vertical="center" wrapText="1"/>
    </xf>
    <xf numFmtId="0" fontId="67" fillId="0" borderId="0" xfId="9" applyFont="1" applyBorder="1" applyAlignment="1">
      <alignment vertical="center" wrapText="1"/>
    </xf>
    <xf numFmtId="0" fontId="67" fillId="0" borderId="11" xfId="9" applyFont="1" applyBorder="1" applyAlignment="1">
      <alignment vertical="center" wrapText="1"/>
    </xf>
    <xf numFmtId="0" fontId="9" fillId="0" borderId="0" xfId="9" applyFont="1" applyAlignment="1">
      <alignment horizontal="right"/>
    </xf>
    <xf numFmtId="176" fontId="9" fillId="0" borderId="70" xfId="46" applyNumberFormat="1" applyFont="1" applyFill="1" applyBorder="1" applyAlignment="1">
      <alignment vertical="center" wrapText="1"/>
    </xf>
    <xf numFmtId="176" fontId="9" fillId="0" borderId="71" xfId="46" applyNumberFormat="1" applyFont="1" applyFill="1" applyBorder="1" applyAlignment="1">
      <alignment vertical="center" wrapText="1"/>
    </xf>
    <xf numFmtId="166" fontId="9" fillId="0" borderId="19" xfId="24" applyNumberFormat="1" applyFont="1" applyFill="1" applyBorder="1" applyAlignment="1">
      <alignment horizontal="right" indent="1"/>
    </xf>
    <xf numFmtId="166" fontId="13" fillId="0" borderId="71" xfId="34" applyNumberFormat="1" applyFont="1" applyFill="1" applyBorder="1" applyAlignment="1">
      <alignment horizontal="right" vertical="center" wrapText="1" indent="1"/>
    </xf>
    <xf numFmtId="0" fontId="100" fillId="0" borderId="24" xfId="42" applyFont="1" applyFill="1" applyBorder="1" applyAlignment="1">
      <alignment horizontal="center" vertical="center" wrapText="1"/>
    </xf>
    <xf numFmtId="0" fontId="100" fillId="0" borderId="23" xfId="42" applyFont="1" applyFill="1" applyBorder="1" applyAlignment="1">
      <alignment horizontal="left" vertical="center" wrapText="1"/>
    </xf>
    <xf numFmtId="168" fontId="100" fillId="7" borderId="23" xfId="43" applyNumberFormat="1" applyFont="1" applyFill="1" applyBorder="1" applyAlignment="1">
      <alignment horizontal="right" vertical="center" wrapText="1"/>
    </xf>
    <xf numFmtId="168" fontId="100" fillId="7" borderId="34" xfId="43" applyNumberFormat="1" applyFont="1" applyFill="1" applyBorder="1" applyAlignment="1">
      <alignment horizontal="right" vertical="center" wrapText="1"/>
    </xf>
    <xf numFmtId="168" fontId="8" fillId="0" borderId="19" xfId="46" applyNumberFormat="1" applyFont="1" applyFill="1" applyBorder="1" applyAlignment="1">
      <alignment vertical="center" wrapText="1"/>
    </xf>
    <xf numFmtId="168" fontId="8" fillId="0" borderId="7" xfId="34" applyNumberFormat="1" applyFont="1" applyFill="1" applyBorder="1" applyAlignment="1">
      <alignment horizontal="right" vertical="center" wrapText="1"/>
    </xf>
    <xf numFmtId="168" fontId="8" fillId="0" borderId="1" xfId="34" applyNumberFormat="1" applyFont="1" applyFill="1" applyBorder="1" applyAlignment="1">
      <alignment horizontal="right" vertical="center" wrapText="1"/>
    </xf>
    <xf numFmtId="168" fontId="8" fillId="0" borderId="14" xfId="34" applyNumberFormat="1" applyFont="1" applyFill="1" applyBorder="1" applyAlignment="1">
      <alignment horizontal="right" vertical="center" wrapText="1"/>
    </xf>
    <xf numFmtId="168" fontId="8" fillId="0" borderId="19" xfId="34" applyNumberFormat="1" applyFont="1" applyFill="1" applyBorder="1" applyAlignment="1">
      <alignment horizontal="right" vertical="center" wrapText="1"/>
    </xf>
    <xf numFmtId="168" fontId="16" fillId="0" borderId="0" xfId="3" applyNumberFormat="1" applyFont="1" applyFill="1" applyBorder="1"/>
    <xf numFmtId="175" fontId="22" fillId="0" borderId="43" xfId="26" applyNumberFormat="1" applyFont="1" applyFill="1" applyBorder="1" applyAlignment="1">
      <alignment horizontal="right" vertical="distributed"/>
    </xf>
    <xf numFmtId="176" fontId="29" fillId="0" borderId="47" xfId="26" applyNumberFormat="1" applyFont="1" applyFill="1" applyBorder="1" applyAlignment="1">
      <alignment horizontal="center" vertical="distributed"/>
    </xf>
    <xf numFmtId="43" fontId="50" fillId="0" borderId="45" xfId="26" applyFont="1" applyFill="1" applyBorder="1" applyAlignment="1">
      <alignment horizontal="center"/>
    </xf>
    <xf numFmtId="43" fontId="50" fillId="0" borderId="47" xfId="26" applyFont="1" applyFill="1" applyBorder="1" applyAlignment="1">
      <alignment horizontal="center"/>
    </xf>
    <xf numFmtId="176" fontId="29" fillId="0" borderId="47" xfId="26" applyNumberFormat="1" applyFont="1" applyFill="1" applyBorder="1" applyAlignment="1">
      <alignment horizontal="right" vertical="distributed"/>
    </xf>
    <xf numFmtId="168" fontId="29" fillId="0" borderId="47" xfId="7" applyNumberFormat="1" applyFont="1" applyFill="1" applyBorder="1" applyAlignment="1">
      <alignment horizontal="right" vertical="distributed"/>
    </xf>
    <xf numFmtId="168" fontId="50" fillId="0" borderId="45" xfId="7" applyNumberFormat="1" applyFont="1" applyFill="1" applyBorder="1" applyAlignment="1">
      <alignment horizontal="center"/>
    </xf>
    <xf numFmtId="168" fontId="50" fillId="0" borderId="47" xfId="7" applyNumberFormat="1" applyFont="1" applyFill="1" applyBorder="1" applyAlignment="1">
      <alignment horizontal="center"/>
    </xf>
    <xf numFmtId="176" fontId="29" fillId="0" borderId="55" xfId="26" applyNumberFormat="1" applyFont="1" applyFill="1" applyBorder="1" applyAlignment="1">
      <alignment horizontal="distributed" vertical="distributed"/>
    </xf>
    <xf numFmtId="175" fontId="52" fillId="0" borderId="43" xfId="26" applyNumberFormat="1" applyFont="1" applyFill="1" applyBorder="1" applyAlignment="1">
      <alignment horizontal="center"/>
    </xf>
    <xf numFmtId="0" fontId="29" fillId="0" borderId="46" xfId="7" applyFont="1" applyFill="1" applyBorder="1" applyAlignment="1">
      <alignment horizontal="center"/>
    </xf>
    <xf numFmtId="0" fontId="29" fillId="0" borderId="47" xfId="7" applyFont="1" applyFill="1" applyBorder="1" applyAlignment="1">
      <alignment horizontal="center"/>
    </xf>
    <xf numFmtId="175" fontId="29" fillId="0" borderId="47" xfId="26" applyNumberFormat="1" applyFont="1" applyFill="1" applyBorder="1" applyAlignment="1">
      <alignment horizontal="right" vertical="distributed"/>
    </xf>
    <xf numFmtId="174" fontId="50" fillId="0" borderId="1" xfId="7" applyNumberFormat="1" applyFont="1" applyFill="1" applyBorder="1" applyAlignment="1"/>
    <xf numFmtId="168" fontId="50" fillId="0" borderId="1" xfId="7" applyNumberFormat="1" applyFont="1" applyFill="1" applyBorder="1" applyAlignment="1"/>
    <xf numFmtId="0" fontId="33" fillId="0" borderId="0" xfId="7" applyFont="1" applyFill="1" applyAlignment="1">
      <alignment horizontal="right"/>
    </xf>
    <xf numFmtId="0" fontId="29" fillId="0" borderId="0" xfId="9" applyFont="1" applyFill="1" applyAlignment="1">
      <alignment horizontal="right" vertical="center"/>
    </xf>
    <xf numFmtId="175" fontId="29" fillId="0" borderId="47" xfId="26" applyNumberFormat="1" applyFont="1" applyFill="1" applyBorder="1" applyAlignment="1">
      <alignment vertical="distributed"/>
    </xf>
    <xf numFmtId="168" fontId="50" fillId="0" borderId="0" xfId="34" applyNumberFormat="1" applyFont="1" applyFill="1" applyAlignment="1"/>
    <xf numFmtId="0" fontId="29" fillId="0" borderId="0" xfId="9" applyFont="1" applyFill="1" applyAlignment="1">
      <alignment horizontal="center" vertical="center"/>
    </xf>
    <xf numFmtId="168" fontId="50" fillId="0" borderId="2" xfId="34" applyNumberFormat="1" applyFont="1" applyFill="1" applyBorder="1" applyAlignment="1"/>
    <xf numFmtId="168" fontId="50" fillId="0" borderId="1" xfId="34" applyNumberFormat="1" applyFont="1" applyFill="1" applyBorder="1" applyAlignment="1"/>
    <xf numFmtId="168" fontId="50" fillId="0" borderId="0" xfId="34" applyNumberFormat="1" applyFont="1" applyFill="1" applyBorder="1" applyAlignment="1"/>
    <xf numFmtId="174" fontId="50" fillId="0" borderId="1" xfId="34" applyNumberFormat="1" applyFont="1" applyFill="1" applyBorder="1" applyAlignment="1"/>
    <xf numFmtId="166" fontId="29" fillId="0" borderId="52" xfId="9" applyNumberFormat="1" applyFont="1" applyFill="1" applyBorder="1" applyAlignment="1">
      <alignment horizontal="right" vertical="distributed"/>
    </xf>
    <xf numFmtId="168" fontId="50" fillId="0" borderId="28" xfId="34" applyNumberFormat="1" applyFont="1" applyFill="1" applyBorder="1" applyAlignment="1"/>
    <xf numFmtId="168" fontId="50" fillId="0" borderId="26" xfId="34" applyNumberFormat="1" applyFont="1" applyFill="1" applyBorder="1" applyAlignment="1"/>
    <xf numFmtId="174" fontId="50" fillId="0" borderId="25" xfId="34" applyNumberFormat="1" applyFont="1" applyFill="1" applyBorder="1" applyAlignment="1"/>
    <xf numFmtId="182" fontId="5" fillId="0" borderId="0" xfId="7" applyNumberFormat="1" applyFill="1"/>
    <xf numFmtId="175" fontId="8" fillId="0" borderId="19" xfId="46" applyNumberFormat="1" applyFont="1" applyFill="1" applyBorder="1" applyAlignment="1">
      <alignment vertical="center" wrapText="1"/>
    </xf>
    <xf numFmtId="165" fontId="6" fillId="0" borderId="0" xfId="1" applyFont="1" applyFill="1" applyBorder="1"/>
    <xf numFmtId="165" fontId="6" fillId="0" borderId="0" xfId="1" applyFont="1" applyFill="1"/>
    <xf numFmtId="171" fontId="6" fillId="0" borderId="0" xfId="3" applyNumberFormat="1" applyFont="1" applyFill="1"/>
    <xf numFmtId="175" fontId="13" fillId="0" borderId="71" xfId="46" applyNumberFormat="1" applyFont="1" applyFill="1" applyBorder="1" applyAlignment="1">
      <alignment horizontal="right" vertical="center" wrapText="1" indent="1"/>
    </xf>
    <xf numFmtId="168" fontId="50" fillId="0" borderId="1" xfId="7" applyNumberFormat="1" applyFont="1" applyFill="1" applyBorder="1" applyAlignment="1"/>
    <xf numFmtId="168" fontId="29" fillId="0" borderId="47" xfId="7" applyNumberFormat="1" applyFont="1" applyFill="1" applyBorder="1" applyAlignment="1">
      <alignment horizontal="right" vertical="distributed"/>
    </xf>
    <xf numFmtId="168" fontId="50" fillId="0" borderId="1" xfId="34" applyNumberFormat="1" applyFont="1" applyFill="1" applyBorder="1" applyAlignment="1"/>
    <xf numFmtId="176" fontId="29" fillId="0" borderId="47" xfId="26" applyNumberFormat="1" applyFont="1" applyFill="1" applyBorder="1" applyAlignment="1">
      <alignment horizontal="right" vertical="distributed"/>
    </xf>
    <xf numFmtId="168" fontId="50" fillId="0" borderId="47" xfId="7" applyNumberFormat="1" applyFont="1" applyFill="1" applyBorder="1" applyAlignment="1">
      <alignment horizontal="center"/>
    </xf>
    <xf numFmtId="168" fontId="50" fillId="0" borderId="1" xfId="7" applyNumberFormat="1" applyFont="1" applyFill="1" applyBorder="1" applyAlignment="1"/>
    <xf numFmtId="168" fontId="50" fillId="0" borderId="1" xfId="34" applyNumberFormat="1" applyFont="1" applyFill="1" applyBorder="1" applyAlignment="1"/>
    <xf numFmtId="0" fontId="11" fillId="0" borderId="8" xfId="3" applyFont="1" applyFill="1" applyBorder="1"/>
    <xf numFmtId="0" fontId="10" fillId="0" borderId="60" xfId="44" applyFont="1" applyFill="1" applyBorder="1" applyAlignment="1">
      <alignment horizontal="left" vertical="center" wrapText="1"/>
    </xf>
    <xf numFmtId="0" fontId="11" fillId="0" borderId="29" xfId="3" applyFont="1" applyFill="1" applyBorder="1"/>
    <xf numFmtId="166" fontId="47" fillId="0" borderId="26" xfId="5" applyNumberFormat="1" applyFont="1" applyFill="1" applyBorder="1" applyAlignment="1">
      <alignment horizontal="left" vertical="center" wrapText="1"/>
    </xf>
    <xf numFmtId="168" fontId="74" fillId="0" borderId="69" xfId="5" applyNumberFormat="1" applyFont="1" applyFill="1" applyBorder="1" applyAlignment="1">
      <alignment horizontal="right" vertical="center" wrapText="1"/>
    </xf>
    <xf numFmtId="168" fontId="39" fillId="0" borderId="28" xfId="5" applyNumberFormat="1" applyFont="1" applyFill="1" applyBorder="1" applyAlignment="1">
      <alignment horizontal="right" vertical="center" wrapText="1"/>
    </xf>
    <xf numFmtId="168" fontId="39" fillId="0" borderId="26" xfId="5" applyNumberFormat="1" applyFont="1" applyFill="1" applyBorder="1" applyAlignment="1">
      <alignment horizontal="right" vertical="center" wrapText="1"/>
    </xf>
    <xf numFmtId="168" fontId="90" fillId="0" borderId="27" xfId="3" applyNumberFormat="1" applyFont="1" applyFill="1" applyBorder="1"/>
    <xf numFmtId="168" fontId="11" fillId="0" borderId="27" xfId="3" applyNumberFormat="1" applyFont="1" applyFill="1" applyBorder="1"/>
    <xf numFmtId="0" fontId="11" fillId="0" borderId="5" xfId="3" applyFont="1" applyFill="1" applyBorder="1"/>
    <xf numFmtId="166" fontId="47" fillId="0" borderId="4" xfId="5" applyNumberFormat="1" applyFont="1" applyFill="1" applyBorder="1" applyAlignment="1">
      <alignment horizontal="left" vertical="center" wrapText="1" indent="2"/>
    </xf>
    <xf numFmtId="49" fontId="47" fillId="0" borderId="4" xfId="5" applyNumberFormat="1" applyFont="1" applyFill="1" applyBorder="1" applyAlignment="1">
      <alignment horizontal="center" vertical="center" wrapText="1"/>
    </xf>
    <xf numFmtId="49" fontId="47" fillId="0" borderId="74" xfId="5" applyNumberFormat="1" applyFont="1" applyFill="1" applyBorder="1" applyAlignment="1">
      <alignment horizontal="center" vertical="center" wrapText="1"/>
    </xf>
    <xf numFmtId="168" fontId="15" fillId="0" borderId="66" xfId="5" applyNumberFormat="1" applyFont="1" applyFill="1" applyBorder="1" applyAlignment="1">
      <alignment horizontal="right" vertical="center"/>
    </xf>
    <xf numFmtId="168" fontId="39" fillId="0" borderId="59" xfId="5" applyNumberFormat="1" applyFont="1" applyFill="1" applyBorder="1" applyAlignment="1">
      <alignment horizontal="right" vertical="center"/>
    </xf>
    <xf numFmtId="168" fontId="39" fillId="0" borderId="4" xfId="5" applyNumberFormat="1" applyFont="1" applyFill="1" applyBorder="1" applyAlignment="1">
      <alignment horizontal="right" vertical="center"/>
    </xf>
    <xf numFmtId="168" fontId="11" fillId="0" borderId="38" xfId="3" applyNumberFormat="1" applyFont="1" applyFill="1" applyBorder="1"/>
    <xf numFmtId="171" fontId="5" fillId="0" borderId="0" xfId="7" applyNumberFormat="1" applyFill="1"/>
    <xf numFmtId="175" fontId="13" fillId="0" borderId="19" xfId="46" applyNumberFormat="1" applyFont="1" applyFill="1" applyBorder="1" applyAlignment="1">
      <alignment vertical="center" wrapText="1"/>
    </xf>
    <xf numFmtId="0" fontId="48" fillId="0" borderId="0" xfId="0" applyFont="1" applyFill="1" applyAlignment="1">
      <alignment horizontal="left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53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53" fillId="0" borderId="1" xfId="0" applyNumberFormat="1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left" vertical="center" wrapText="1"/>
    </xf>
    <xf numFmtId="0" fontId="105" fillId="0" borderId="7" xfId="9" applyFont="1" applyFill="1" applyBorder="1"/>
    <xf numFmtId="0" fontId="9" fillId="0" borderId="0" xfId="0" applyFont="1" applyFill="1" applyAlignment="1">
      <alignment horizontal="left" vertical="center" wrapText="1"/>
    </xf>
    <xf numFmtId="0" fontId="10" fillId="0" borderId="28" xfId="44" applyFont="1" applyFill="1" applyBorder="1" applyAlignment="1">
      <alignment horizontal="left" vertical="center" wrapText="1"/>
    </xf>
    <xf numFmtId="0" fontId="10" fillId="0" borderId="7" xfId="44" applyFont="1" applyFill="1" applyBorder="1" applyAlignment="1">
      <alignment horizontal="left" vertical="center" wrapText="1"/>
    </xf>
    <xf numFmtId="0" fontId="17" fillId="0" borderId="7" xfId="44" applyFont="1" applyFill="1" applyBorder="1" applyAlignment="1">
      <alignment horizontal="left" vertical="center" wrapText="1"/>
    </xf>
    <xf numFmtId="0" fontId="9" fillId="0" borderId="7" xfId="44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left" vertical="center" wrapText="1"/>
    </xf>
    <xf numFmtId="0" fontId="9" fillId="0" borderId="59" xfId="0" applyFont="1" applyFill="1" applyBorder="1" applyAlignment="1">
      <alignment horizontal="left" vertical="center" wrapText="1"/>
    </xf>
    <xf numFmtId="168" fontId="50" fillId="0" borderId="1" xfId="7" applyNumberFormat="1" applyFont="1" applyFill="1" applyBorder="1" applyAlignment="1"/>
    <xf numFmtId="168" fontId="29" fillId="0" borderId="47" xfId="7" applyNumberFormat="1" applyFont="1" applyFill="1" applyBorder="1" applyAlignment="1">
      <alignment horizontal="right" vertical="distributed"/>
    </xf>
    <xf numFmtId="168" fontId="50" fillId="0" borderId="1" xfId="34" applyNumberFormat="1" applyFont="1" applyFill="1" applyBorder="1" applyAlignment="1"/>
    <xf numFmtId="168" fontId="9" fillId="0" borderId="71" xfId="46" applyNumberFormat="1" applyFont="1" applyFill="1" applyBorder="1" applyAlignment="1">
      <alignment horizontal="right" vertical="center" wrapText="1" indent="1"/>
    </xf>
    <xf numFmtId="168" fontId="9" fillId="0" borderId="7" xfId="3" applyNumberFormat="1" applyFont="1" applyFill="1" applyBorder="1" applyAlignment="1">
      <alignment horizontal="right" vertical="center" wrapText="1" indent="1"/>
    </xf>
    <xf numFmtId="168" fontId="9" fillId="0" borderId="13" xfId="3" applyNumberFormat="1" applyFont="1" applyFill="1" applyBorder="1" applyAlignment="1">
      <alignment horizontal="right" vertical="center" wrapText="1" indent="1"/>
    </xf>
    <xf numFmtId="168" fontId="9" fillId="0" borderId="19" xfId="3" applyNumberFormat="1" applyFont="1" applyFill="1" applyBorder="1" applyAlignment="1">
      <alignment horizontal="right" vertical="center" wrapText="1" indent="1"/>
    </xf>
    <xf numFmtId="168" fontId="6" fillId="0" borderId="0" xfId="3" applyNumberFormat="1" applyFont="1" applyFill="1" applyBorder="1" applyAlignment="1">
      <alignment horizontal="right" vertical="center" wrapText="1" indent="1"/>
    </xf>
    <xf numFmtId="168" fontId="9" fillId="0" borderId="19" xfId="46" applyNumberFormat="1" applyFont="1" applyFill="1" applyBorder="1" applyAlignment="1">
      <alignment horizontal="right" vertical="center" wrapText="1" indent="1"/>
    </xf>
    <xf numFmtId="0" fontId="48" fillId="0" borderId="16" xfId="3" applyFont="1" applyFill="1" applyBorder="1" applyAlignment="1">
      <alignment horizontal="left" vertical="center" wrapText="1"/>
    </xf>
    <xf numFmtId="0" fontId="33" fillId="0" borderId="0" xfId="7" applyFont="1" applyFill="1" applyAlignment="1">
      <alignment horizontal="right"/>
    </xf>
    <xf numFmtId="0" fontId="29" fillId="0" borderId="0" xfId="9" applyFont="1" applyFill="1" applyAlignment="1">
      <alignment horizontal="right" vertical="center"/>
    </xf>
    <xf numFmtId="168" fontId="29" fillId="0" borderId="0" xfId="9" applyNumberFormat="1" applyFont="1" applyFill="1" applyAlignment="1">
      <alignment horizontal="right" vertical="center"/>
    </xf>
    <xf numFmtId="0" fontId="6" fillId="0" borderId="0" xfId="3" applyFont="1" applyFill="1" applyAlignment="1">
      <alignment horizontal="right"/>
    </xf>
    <xf numFmtId="168" fontId="6" fillId="0" borderId="0" xfId="24" applyNumberFormat="1" applyFont="1" applyFill="1" applyAlignment="1">
      <alignment horizontal="right"/>
    </xf>
    <xf numFmtId="49" fontId="12" fillId="0" borderId="13" xfId="3" applyNumberFormat="1" applyFont="1" applyFill="1" applyBorder="1" applyAlignment="1">
      <alignment horizontal="center" vertical="center" wrapText="1"/>
    </xf>
    <xf numFmtId="49" fontId="12" fillId="0" borderId="7" xfId="3" applyNumberFormat="1" applyFont="1" applyFill="1" applyBorder="1" applyAlignment="1">
      <alignment horizontal="center" vertical="center" wrapText="1"/>
    </xf>
    <xf numFmtId="176" fontId="29" fillId="0" borderId="0" xfId="9" applyNumberFormat="1" applyFont="1" applyFill="1" applyAlignment="1">
      <alignment horizontal="right" vertical="center"/>
    </xf>
    <xf numFmtId="176" fontId="33" fillId="0" borderId="0" xfId="7" applyNumberFormat="1" applyFont="1" applyFill="1" applyAlignment="1">
      <alignment horizontal="right"/>
    </xf>
    <xf numFmtId="172" fontId="9" fillId="0" borderId="1" xfId="11" applyNumberFormat="1" applyFont="1" applyFill="1" applyBorder="1" applyAlignment="1" applyProtection="1">
      <alignment horizontal="left" vertical="center" wrapText="1"/>
    </xf>
    <xf numFmtId="0" fontId="9" fillId="0" borderId="2" xfId="3" applyFont="1" applyFill="1" applyBorder="1" applyAlignment="1">
      <alignment horizontal="center" vertical="center"/>
    </xf>
    <xf numFmtId="176" fontId="22" fillId="0" borderId="40" xfId="26" applyNumberFormat="1" applyFont="1" applyFill="1" applyBorder="1" applyAlignment="1">
      <alignment horizontal="distributed" vertical="distributed"/>
    </xf>
    <xf numFmtId="176" fontId="22" fillId="0" borderId="43" xfId="26" applyNumberFormat="1" applyFont="1" applyFill="1" applyBorder="1" applyAlignment="1">
      <alignment horizontal="distributed" vertical="distributed"/>
    </xf>
    <xf numFmtId="0" fontId="51" fillId="0" borderId="0" xfId="7" applyFont="1" applyFill="1" applyAlignment="1">
      <alignment horizontal="center"/>
    </xf>
    <xf numFmtId="0" fontId="29" fillId="0" borderId="40" xfId="7" applyFont="1" applyFill="1" applyBorder="1" applyAlignment="1">
      <alignment horizontal="center" vertical="center"/>
    </xf>
    <xf numFmtId="0" fontId="29" fillId="0" borderId="43" xfId="7" applyFont="1" applyFill="1" applyBorder="1" applyAlignment="1">
      <alignment horizontal="center" vertical="center"/>
    </xf>
    <xf numFmtId="175" fontId="22" fillId="0" borderId="40" xfId="26" applyNumberFormat="1" applyFont="1" applyFill="1" applyBorder="1" applyAlignment="1">
      <alignment horizontal="right" vertical="distributed"/>
    </xf>
    <xf numFmtId="175" fontId="22" fillId="0" borderId="43" xfId="26" applyNumberFormat="1" applyFont="1" applyFill="1" applyBorder="1" applyAlignment="1">
      <alignment horizontal="right" vertical="distributed"/>
    </xf>
    <xf numFmtId="175" fontId="29" fillId="0" borderId="40" xfId="26" applyNumberFormat="1" applyFont="1" applyFill="1" applyBorder="1" applyAlignment="1">
      <alignment horizontal="right" vertical="distributed"/>
    </xf>
    <xf numFmtId="175" fontId="29" fillId="0" borderId="43" xfId="26" applyNumberFormat="1" applyFont="1" applyFill="1" applyBorder="1" applyAlignment="1">
      <alignment horizontal="right" vertical="distributed"/>
    </xf>
    <xf numFmtId="175" fontId="29" fillId="0" borderId="11" xfId="26" applyNumberFormat="1" applyFont="1" applyFill="1" applyBorder="1" applyAlignment="1">
      <alignment horizontal="right" vertical="distributed"/>
    </xf>
    <xf numFmtId="176" fontId="22" fillId="0" borderId="11" xfId="26" applyNumberFormat="1" applyFont="1" applyFill="1" applyBorder="1" applyAlignment="1">
      <alignment horizontal="distributed" vertical="distributed"/>
    </xf>
    <xf numFmtId="176" fontId="29" fillId="0" borderId="40" xfId="26" applyNumberFormat="1" applyFont="1" applyFill="1" applyBorder="1" applyAlignment="1">
      <alignment horizontal="distributed" vertical="distributed"/>
    </xf>
    <xf numFmtId="176" fontId="29" fillId="0" borderId="11" xfId="26" applyNumberFormat="1" applyFont="1" applyFill="1" applyBorder="1" applyAlignment="1">
      <alignment horizontal="distributed" vertical="distributed"/>
    </xf>
    <xf numFmtId="176" fontId="29" fillId="0" borderId="43" xfId="26" applyNumberFormat="1" applyFont="1" applyFill="1" applyBorder="1" applyAlignment="1">
      <alignment horizontal="distributed" vertical="distributed"/>
    </xf>
    <xf numFmtId="0" fontId="9" fillId="0" borderId="40" xfId="0" applyFont="1" applyFill="1" applyBorder="1" applyAlignment="1">
      <alignment horizontal="distributed" vertical="distributed"/>
    </xf>
    <xf numFmtId="0" fontId="9" fillId="0" borderId="11" xfId="0" applyFont="1" applyFill="1" applyBorder="1" applyAlignment="1">
      <alignment horizontal="distributed" vertical="distributed"/>
    </xf>
    <xf numFmtId="0" fontId="9" fillId="0" borderId="17" xfId="0" applyFont="1" applyFill="1" applyBorder="1" applyAlignment="1">
      <alignment horizontal="distributed" vertical="distributed"/>
    </xf>
    <xf numFmtId="176" fontId="29" fillId="0" borderId="22" xfId="26" applyNumberFormat="1" applyFont="1" applyFill="1" applyBorder="1" applyAlignment="1">
      <alignment horizontal="distributed" vertical="distributed"/>
    </xf>
    <xf numFmtId="176" fontId="29" fillId="0" borderId="45" xfId="26" applyNumberFormat="1" applyFont="1" applyFill="1" applyBorder="1" applyAlignment="1">
      <alignment horizontal="center" vertical="distributed"/>
    </xf>
    <xf numFmtId="176" fontId="29" fillId="0" borderId="47" xfId="26" applyNumberFormat="1" applyFont="1" applyFill="1" applyBorder="1" applyAlignment="1">
      <alignment horizontal="center" vertical="distributed"/>
    </xf>
    <xf numFmtId="168" fontId="50" fillId="0" borderId="23" xfId="25" applyNumberFormat="1" applyFont="1" applyFill="1" applyBorder="1" applyAlignment="1"/>
    <xf numFmtId="168" fontId="50" fillId="0" borderId="2" xfId="25" applyNumberFormat="1" applyFont="1" applyFill="1" applyBorder="1" applyAlignment="1"/>
    <xf numFmtId="168" fontId="50" fillId="0" borderId="1" xfId="25" applyNumberFormat="1" applyFont="1" applyFill="1" applyBorder="1" applyAlignment="1"/>
    <xf numFmtId="177" fontId="52" fillId="0" borderId="39" xfId="26" applyNumberFormat="1" applyFont="1" applyFill="1" applyBorder="1" applyAlignment="1">
      <alignment horizontal="right"/>
    </xf>
    <xf numFmtId="177" fontId="52" fillId="0" borderId="40" xfId="26" applyNumberFormat="1" applyFont="1" applyFill="1" applyBorder="1" applyAlignment="1">
      <alignment horizontal="right"/>
    </xf>
    <xf numFmtId="177" fontId="52" fillId="0" borderId="42" xfId="26" applyNumberFormat="1" applyFont="1" applyFill="1" applyBorder="1" applyAlignment="1">
      <alignment horizontal="right"/>
    </xf>
    <xf numFmtId="177" fontId="52" fillId="0" borderId="43" xfId="26" applyNumberFormat="1" applyFont="1" applyFill="1" applyBorder="1" applyAlignment="1">
      <alignment horizontal="right"/>
    </xf>
    <xf numFmtId="43" fontId="50" fillId="0" borderId="45" xfId="26" applyFont="1" applyFill="1" applyBorder="1" applyAlignment="1">
      <alignment horizontal="center"/>
    </xf>
    <xf numFmtId="43" fontId="50" fillId="0" borderId="47" xfId="26" applyFont="1" applyFill="1" applyBorder="1" applyAlignment="1">
      <alignment horizontal="center"/>
    </xf>
    <xf numFmtId="176" fontId="50" fillId="0" borderId="39" xfId="26" applyNumberFormat="1" applyFont="1" applyFill="1" applyBorder="1" applyAlignment="1">
      <alignment horizontal="right"/>
    </xf>
    <xf numFmtId="176" fontId="50" fillId="0" borderId="40" xfId="26" applyNumberFormat="1" applyFont="1" applyFill="1" applyBorder="1" applyAlignment="1">
      <alignment horizontal="right"/>
    </xf>
    <xf numFmtId="176" fontId="50" fillId="0" borderId="48" xfId="26" applyNumberFormat="1" applyFont="1" applyFill="1" applyBorder="1" applyAlignment="1">
      <alignment horizontal="right"/>
    </xf>
    <xf numFmtId="176" fontId="50" fillId="0" borderId="11" xfId="26" applyNumberFormat="1" applyFont="1" applyFill="1" applyBorder="1" applyAlignment="1">
      <alignment horizontal="right"/>
    </xf>
    <xf numFmtId="174" fontId="50" fillId="0" borderId="1" xfId="25" applyNumberFormat="1" applyFont="1" applyFill="1" applyBorder="1" applyAlignment="1"/>
    <xf numFmtId="174" fontId="50" fillId="0" borderId="23" xfId="25" applyNumberFormat="1" applyFont="1" applyFill="1" applyBorder="1" applyAlignment="1"/>
    <xf numFmtId="176" fontId="52" fillId="0" borderId="39" xfId="26" applyNumberFormat="1" applyFont="1" applyFill="1" applyBorder="1" applyAlignment="1">
      <alignment horizontal="right"/>
    </xf>
    <xf numFmtId="176" fontId="52" fillId="0" borderId="40" xfId="26" applyNumberFormat="1" applyFont="1" applyFill="1" applyBorder="1" applyAlignment="1">
      <alignment horizontal="right"/>
    </xf>
    <xf numFmtId="176" fontId="52" fillId="0" borderId="42" xfId="26" applyNumberFormat="1" applyFont="1" applyFill="1" applyBorder="1" applyAlignment="1">
      <alignment horizontal="right"/>
    </xf>
    <xf numFmtId="176" fontId="52" fillId="0" borderId="43" xfId="26" applyNumberFormat="1" applyFont="1" applyFill="1" applyBorder="1" applyAlignment="1">
      <alignment horizontal="right"/>
    </xf>
    <xf numFmtId="176" fontId="50" fillId="0" borderId="42" xfId="26" applyNumberFormat="1" applyFont="1" applyFill="1" applyBorder="1" applyAlignment="1">
      <alignment horizontal="right"/>
    </xf>
    <xf numFmtId="176" fontId="50" fillId="0" borderId="43" xfId="26" applyNumberFormat="1" applyFont="1" applyFill="1" applyBorder="1" applyAlignment="1">
      <alignment horizontal="right"/>
    </xf>
    <xf numFmtId="176" fontId="50" fillId="0" borderId="39" xfId="26" applyNumberFormat="1" applyFont="1" applyFill="1" applyBorder="1" applyAlignment="1">
      <alignment horizontal="center"/>
    </xf>
    <xf numFmtId="176" fontId="50" fillId="0" borderId="40" xfId="26" applyNumberFormat="1" applyFont="1" applyFill="1" applyBorder="1" applyAlignment="1">
      <alignment horizontal="center"/>
    </xf>
    <xf numFmtId="176" fontId="50" fillId="0" borderId="48" xfId="26" applyNumberFormat="1" applyFont="1" applyFill="1" applyBorder="1" applyAlignment="1">
      <alignment horizontal="center"/>
    </xf>
    <xf numFmtId="176" fontId="50" fillId="0" borderId="11" xfId="26" applyNumberFormat="1" applyFont="1" applyFill="1" applyBorder="1" applyAlignment="1">
      <alignment horizontal="center"/>
    </xf>
    <xf numFmtId="176" fontId="50" fillId="0" borderId="42" xfId="26" applyNumberFormat="1" applyFont="1" applyFill="1" applyBorder="1" applyAlignment="1">
      <alignment horizontal="center"/>
    </xf>
    <xf numFmtId="176" fontId="50" fillId="0" borderId="43" xfId="26" applyNumberFormat="1" applyFont="1" applyFill="1" applyBorder="1" applyAlignment="1">
      <alignment horizontal="center"/>
    </xf>
    <xf numFmtId="3" fontId="29" fillId="0" borderId="45" xfId="7" applyNumberFormat="1" applyFont="1" applyFill="1" applyBorder="1" applyAlignment="1">
      <alignment horizontal="center" wrapText="1"/>
    </xf>
    <xf numFmtId="0" fontId="29" fillId="0" borderId="46" xfId="7" applyFont="1" applyFill="1" applyBorder="1" applyAlignment="1">
      <alignment horizontal="center" wrapText="1"/>
    </xf>
    <xf numFmtId="0" fontId="29" fillId="0" borderId="47" xfId="7" applyFont="1" applyFill="1" applyBorder="1" applyAlignment="1">
      <alignment horizontal="center" wrapText="1"/>
    </xf>
    <xf numFmtId="0" fontId="29" fillId="0" borderId="45" xfId="7" applyFont="1" applyFill="1" applyBorder="1" applyAlignment="1">
      <alignment wrapText="1"/>
    </xf>
    <xf numFmtId="0" fontId="29" fillId="0" borderId="46" xfId="7" applyFont="1" applyFill="1" applyBorder="1" applyAlignment="1">
      <alignment wrapText="1"/>
    </xf>
    <xf numFmtId="0" fontId="29" fillId="0" borderId="47" xfId="7" applyFont="1" applyFill="1" applyBorder="1" applyAlignment="1">
      <alignment wrapText="1"/>
    </xf>
    <xf numFmtId="176" fontId="29" fillId="0" borderId="45" xfId="26" applyNumberFormat="1" applyFont="1" applyFill="1" applyBorder="1" applyAlignment="1">
      <alignment horizontal="right" vertical="distributed"/>
    </xf>
    <xf numFmtId="176" fontId="29" fillId="0" borderId="47" xfId="26" applyNumberFormat="1" applyFont="1" applyFill="1" applyBorder="1" applyAlignment="1">
      <alignment horizontal="right" vertical="distributed"/>
    </xf>
    <xf numFmtId="176" fontId="50" fillId="0" borderId="45" xfId="26" applyNumberFormat="1" applyFont="1" applyFill="1" applyBorder="1" applyAlignment="1">
      <alignment horizontal="center"/>
    </xf>
    <xf numFmtId="176" fontId="50" fillId="0" borderId="47" xfId="26" applyNumberFormat="1" applyFont="1" applyFill="1" applyBorder="1" applyAlignment="1">
      <alignment horizontal="center"/>
    </xf>
    <xf numFmtId="0" fontId="22" fillId="0" borderId="39" xfId="7" applyFont="1" applyFill="1" applyBorder="1" applyAlignment="1">
      <alignment horizontal="center"/>
    </xf>
    <xf numFmtId="0" fontId="22" fillId="0" borderId="27" xfId="7" applyFont="1" applyFill="1" applyBorder="1" applyAlignment="1">
      <alignment horizontal="center"/>
    </xf>
    <xf numFmtId="0" fontId="22" fillId="0" borderId="40" xfId="7" applyFont="1" applyFill="1" applyBorder="1" applyAlignment="1">
      <alignment horizontal="center"/>
    </xf>
    <xf numFmtId="0" fontId="22" fillId="0" borderId="42" xfId="7" applyFont="1" applyFill="1" applyBorder="1" applyAlignment="1">
      <alignment horizontal="center"/>
    </xf>
    <xf numFmtId="0" fontId="22" fillId="0" borderId="38" xfId="7" applyFont="1" applyFill="1" applyBorder="1" applyAlignment="1">
      <alignment horizontal="center"/>
    </xf>
    <xf numFmtId="0" fontId="22" fillId="0" borderId="43" xfId="7" applyFont="1" applyFill="1" applyBorder="1" applyAlignment="1">
      <alignment horizontal="center"/>
    </xf>
    <xf numFmtId="176" fontId="22" fillId="8" borderId="39" xfId="26" applyNumberFormat="1" applyFont="1" applyFill="1" applyBorder="1" applyAlignment="1">
      <alignment horizontal="distributed" vertical="distributed"/>
    </xf>
    <xf numFmtId="176" fontId="22" fillId="8" borderId="40" xfId="26" applyNumberFormat="1" applyFont="1" applyFill="1" applyBorder="1" applyAlignment="1">
      <alignment horizontal="distributed" vertical="distributed"/>
    </xf>
    <xf numFmtId="176" fontId="22" fillId="8" borderId="42" xfId="26" applyNumberFormat="1" applyFont="1" applyFill="1" applyBorder="1" applyAlignment="1">
      <alignment horizontal="distributed" vertical="distributed"/>
    </xf>
    <xf numFmtId="176" fontId="22" fillId="8" borderId="43" xfId="26" applyNumberFormat="1" applyFont="1" applyFill="1" applyBorder="1" applyAlignment="1">
      <alignment horizontal="distributed" vertical="distributed"/>
    </xf>
    <xf numFmtId="0" fontId="29" fillId="0" borderId="45" xfId="7" applyFont="1" applyFill="1" applyBorder="1" applyAlignment="1">
      <alignment horizontal="left" wrapText="1"/>
    </xf>
    <xf numFmtId="0" fontId="29" fillId="0" borderId="46" xfId="7" applyFont="1" applyFill="1" applyBorder="1" applyAlignment="1">
      <alignment horizontal="left"/>
    </xf>
    <xf numFmtId="0" fontId="29" fillId="0" borderId="47" xfId="7" applyFont="1" applyFill="1" applyBorder="1" applyAlignment="1">
      <alignment horizontal="left"/>
    </xf>
    <xf numFmtId="168" fontId="29" fillId="0" borderId="45" xfId="7" applyNumberFormat="1" applyFont="1" applyFill="1" applyBorder="1" applyAlignment="1">
      <alignment horizontal="right" vertical="distributed"/>
    </xf>
    <xf numFmtId="168" fontId="29" fillId="0" borderId="47" xfId="7" applyNumberFormat="1" applyFont="1" applyFill="1" applyBorder="1" applyAlignment="1">
      <alignment horizontal="right" vertical="distributed"/>
    </xf>
    <xf numFmtId="168" fontId="50" fillId="0" borderId="45" xfId="7" applyNumberFormat="1" applyFont="1" applyFill="1" applyBorder="1" applyAlignment="1">
      <alignment horizontal="center"/>
    </xf>
    <xf numFmtId="168" fontId="50" fillId="0" borderId="47" xfId="7" applyNumberFormat="1" applyFont="1" applyFill="1" applyBorder="1" applyAlignment="1">
      <alignment horizontal="center"/>
    </xf>
    <xf numFmtId="174" fontId="29" fillId="0" borderId="45" xfId="7" applyNumberFormat="1" applyFont="1" applyFill="1" applyBorder="1" applyAlignment="1">
      <alignment horizontal="right" vertical="distributed"/>
    </xf>
    <xf numFmtId="174" fontId="29" fillId="0" borderId="47" xfId="7" applyNumberFormat="1" applyFont="1" applyFill="1" applyBorder="1" applyAlignment="1">
      <alignment horizontal="right" vertical="distributed"/>
    </xf>
    <xf numFmtId="174" fontId="50" fillId="0" borderId="45" xfId="7" applyNumberFormat="1" applyFont="1" applyFill="1" applyBorder="1" applyAlignment="1">
      <alignment horizontal="center"/>
    </xf>
    <xf numFmtId="174" fontId="50" fillId="0" borderId="47" xfId="7" applyNumberFormat="1" applyFont="1" applyFill="1" applyBorder="1" applyAlignment="1">
      <alignment horizontal="center"/>
    </xf>
    <xf numFmtId="168" fontId="29" fillId="8" borderId="45" xfId="7" applyNumberFormat="1" applyFont="1" applyFill="1" applyBorder="1" applyAlignment="1">
      <alignment horizontal="right" vertical="distributed"/>
    </xf>
    <xf numFmtId="168" fontId="29" fillId="8" borderId="47" xfId="7" applyNumberFormat="1" applyFont="1" applyFill="1" applyBorder="1" applyAlignment="1">
      <alignment horizontal="right" vertical="distributed"/>
    </xf>
    <xf numFmtId="168" fontId="50" fillId="8" borderId="45" xfId="7" applyNumberFormat="1" applyFont="1" applyFill="1" applyBorder="1" applyAlignment="1">
      <alignment horizontal="center"/>
    </xf>
    <xf numFmtId="168" fontId="50" fillId="8" borderId="47" xfId="7" applyNumberFormat="1" applyFont="1" applyFill="1" applyBorder="1" applyAlignment="1">
      <alignment horizontal="center"/>
    </xf>
    <xf numFmtId="0" fontId="29" fillId="0" borderId="45" xfId="0" applyFont="1" applyFill="1" applyBorder="1" applyAlignment="1">
      <alignment horizontal="left" wrapText="1"/>
    </xf>
    <xf numFmtId="0" fontId="29" fillId="0" borderId="46" xfId="0" applyFont="1" applyFill="1" applyBorder="1" applyAlignment="1">
      <alignment horizontal="left" wrapText="1"/>
    </xf>
    <xf numFmtId="0" fontId="29" fillId="0" borderId="47" xfId="0" applyFont="1" applyFill="1" applyBorder="1" applyAlignment="1">
      <alignment horizontal="left" wrapText="1"/>
    </xf>
    <xf numFmtId="0" fontId="29" fillId="0" borderId="45" xfId="7" applyNumberFormat="1" applyFont="1" applyFill="1" applyBorder="1" applyAlignment="1">
      <alignment horizontal="left" wrapText="1"/>
    </xf>
    <xf numFmtId="0" fontId="29" fillId="0" borderId="46" xfId="7" applyNumberFormat="1" applyFont="1" applyFill="1" applyBorder="1" applyAlignment="1">
      <alignment horizontal="left" wrapText="1"/>
    </xf>
    <xf numFmtId="0" fontId="29" fillId="0" borderId="47" xfId="7" applyNumberFormat="1" applyFont="1" applyFill="1" applyBorder="1" applyAlignment="1">
      <alignment horizontal="left" wrapText="1"/>
    </xf>
    <xf numFmtId="0" fontId="29" fillId="0" borderId="46" xfId="7" applyFont="1" applyFill="1" applyBorder="1" applyAlignment="1">
      <alignment horizontal="left" wrapText="1"/>
    </xf>
    <xf numFmtId="0" fontId="29" fillId="0" borderId="47" xfId="7" applyFont="1" applyFill="1" applyBorder="1" applyAlignment="1">
      <alignment horizontal="left" wrapText="1"/>
    </xf>
    <xf numFmtId="176" fontId="29" fillId="8" borderId="45" xfId="26" applyNumberFormat="1" applyFont="1" applyFill="1" applyBorder="1" applyAlignment="1">
      <alignment horizontal="right" vertical="distributed"/>
    </xf>
    <xf numFmtId="176" fontId="29" fillId="8" borderId="47" xfId="26" applyNumberFormat="1" applyFont="1" applyFill="1" applyBorder="1" applyAlignment="1">
      <alignment horizontal="right" vertical="distributed"/>
    </xf>
    <xf numFmtId="177" fontId="52" fillId="0" borderId="48" xfId="26" applyNumberFormat="1" applyFont="1" applyFill="1" applyBorder="1" applyAlignment="1">
      <alignment horizontal="right"/>
    </xf>
    <xf numFmtId="177" fontId="52" fillId="0" borderId="11" xfId="26" applyNumberFormat="1" applyFont="1" applyFill="1" applyBorder="1" applyAlignment="1">
      <alignment horizontal="right"/>
    </xf>
    <xf numFmtId="176" fontId="50" fillId="0" borderId="45" xfId="26" applyNumberFormat="1" applyFont="1" applyFill="1" applyBorder="1" applyAlignment="1">
      <alignment horizontal="right"/>
    </xf>
    <xf numFmtId="176" fontId="50" fillId="0" borderId="47" xfId="26" applyNumberFormat="1" applyFont="1" applyFill="1" applyBorder="1" applyAlignment="1">
      <alignment horizontal="right"/>
    </xf>
    <xf numFmtId="0" fontId="22" fillId="0" borderId="48" xfId="7" applyFont="1" applyFill="1" applyBorder="1" applyAlignment="1">
      <alignment horizontal="center"/>
    </xf>
    <xf numFmtId="0" fontId="22" fillId="0" borderId="0" xfId="7" applyFont="1" applyFill="1" applyBorder="1" applyAlignment="1">
      <alignment horizontal="center"/>
    </xf>
    <xf numFmtId="0" fontId="22" fillId="0" borderId="11" xfId="7" applyFont="1" applyFill="1" applyBorder="1" applyAlignment="1">
      <alignment horizontal="center"/>
    </xf>
    <xf numFmtId="176" fontId="22" fillId="0" borderId="39" xfId="26" applyNumberFormat="1" applyFont="1" applyFill="1" applyBorder="1" applyAlignment="1">
      <alignment horizontal="distributed" vertical="distributed"/>
    </xf>
    <xf numFmtId="176" fontId="22" fillId="0" borderId="48" xfId="26" applyNumberFormat="1" applyFont="1" applyFill="1" applyBorder="1" applyAlignment="1">
      <alignment horizontal="distributed" vertical="distributed"/>
    </xf>
    <xf numFmtId="176" fontId="22" fillId="0" borderId="42" xfId="26" applyNumberFormat="1" applyFont="1" applyFill="1" applyBorder="1" applyAlignment="1">
      <alignment horizontal="distributed" vertical="distributed"/>
    </xf>
    <xf numFmtId="43" fontId="29" fillId="0" borderId="45" xfId="26" applyFont="1" applyFill="1" applyBorder="1" applyAlignment="1">
      <alignment horizontal="right" vertical="distributed"/>
    </xf>
    <xf numFmtId="43" fontId="29" fillId="0" borderId="47" xfId="26" applyFont="1" applyFill="1" applyBorder="1" applyAlignment="1">
      <alignment horizontal="right" vertical="distributed"/>
    </xf>
    <xf numFmtId="3" fontId="29" fillId="0" borderId="45" xfId="7" applyNumberFormat="1" applyFont="1" applyFill="1" applyBorder="1" applyAlignment="1">
      <alignment horizontal="center" vertical="center" wrapText="1"/>
    </xf>
    <xf numFmtId="0" fontId="29" fillId="0" borderId="46" xfId="7" applyFont="1" applyFill="1" applyBorder="1" applyAlignment="1">
      <alignment horizontal="center" vertical="center" wrapText="1"/>
    </xf>
    <xf numFmtId="0" fontId="29" fillId="0" borderId="47" xfId="7" applyFont="1" applyFill="1" applyBorder="1" applyAlignment="1">
      <alignment horizontal="center" vertical="center" wrapText="1"/>
    </xf>
    <xf numFmtId="0" fontId="29" fillId="0" borderId="39" xfId="7" applyFont="1" applyFill="1" applyBorder="1" applyAlignment="1">
      <alignment horizontal="center"/>
    </xf>
    <xf numFmtId="0" fontId="29" fillId="0" borderId="27" xfId="7" applyFont="1" applyFill="1" applyBorder="1" applyAlignment="1">
      <alignment horizontal="center"/>
    </xf>
    <xf numFmtId="0" fontId="29" fillId="0" borderId="40" xfId="7" applyFont="1" applyFill="1" applyBorder="1" applyAlignment="1">
      <alignment horizontal="center"/>
    </xf>
    <xf numFmtId="0" fontId="29" fillId="0" borderId="42" xfId="7" applyFont="1" applyFill="1" applyBorder="1" applyAlignment="1">
      <alignment horizontal="center"/>
    </xf>
    <xf numFmtId="0" fontId="29" fillId="0" borderId="38" xfId="7" applyFont="1" applyFill="1" applyBorder="1" applyAlignment="1">
      <alignment horizontal="center"/>
    </xf>
    <xf numFmtId="0" fontId="29" fillId="0" borderId="43" xfId="7" applyFont="1" applyFill="1" applyBorder="1" applyAlignment="1">
      <alignment horizontal="center"/>
    </xf>
    <xf numFmtId="176" fontId="29" fillId="0" borderId="39" xfId="26" applyNumberFormat="1" applyFont="1" applyFill="1" applyBorder="1" applyAlignment="1">
      <alignment horizontal="distributed" vertical="distributed"/>
    </xf>
    <xf numFmtId="176" fontId="29" fillId="0" borderId="42" xfId="26" applyNumberFormat="1" applyFont="1" applyFill="1" applyBorder="1" applyAlignment="1">
      <alignment horizontal="distributed" vertical="distributed"/>
    </xf>
    <xf numFmtId="176" fontId="50" fillId="0" borderId="49" xfId="26" applyNumberFormat="1" applyFont="1" applyFill="1" applyBorder="1" applyAlignment="1">
      <alignment horizontal="right"/>
    </xf>
    <xf numFmtId="176" fontId="50" fillId="0" borderId="17" xfId="26" applyNumberFormat="1" applyFont="1" applyFill="1" applyBorder="1" applyAlignment="1">
      <alignment horizontal="right"/>
    </xf>
    <xf numFmtId="0" fontId="29" fillId="0" borderId="39" xfId="7" applyFont="1" applyFill="1" applyBorder="1" applyAlignment="1">
      <alignment horizontal="center" vertical="center"/>
    </xf>
    <xf numFmtId="0" fontId="29" fillId="0" borderId="27" xfId="7" applyFont="1" applyFill="1" applyBorder="1" applyAlignment="1">
      <alignment horizontal="center" vertical="center"/>
    </xf>
    <xf numFmtId="0" fontId="29" fillId="0" borderId="42" xfId="7" applyFont="1" applyFill="1" applyBorder="1" applyAlignment="1">
      <alignment horizontal="center" vertical="center"/>
    </xf>
    <xf numFmtId="0" fontId="29" fillId="0" borderId="38" xfId="7" applyFont="1" applyFill="1" applyBorder="1" applyAlignment="1">
      <alignment horizontal="center" vertical="center"/>
    </xf>
    <xf numFmtId="0" fontId="29" fillId="0" borderId="39" xfId="7" applyFont="1" applyFill="1" applyBorder="1" applyAlignment="1">
      <alignment horizontal="left" wrapText="1"/>
    </xf>
    <xf numFmtId="0" fontId="29" fillId="0" borderId="27" xfId="7" applyFont="1" applyFill="1" applyBorder="1" applyAlignment="1">
      <alignment horizontal="left" wrapText="1"/>
    </xf>
    <xf numFmtId="0" fontId="29" fillId="0" borderId="40" xfId="7" applyFont="1" applyFill="1" applyBorder="1" applyAlignment="1">
      <alignment horizontal="left" wrapText="1"/>
    </xf>
    <xf numFmtId="0" fontId="29" fillId="0" borderId="42" xfId="7" applyFont="1" applyFill="1" applyBorder="1" applyAlignment="1">
      <alignment horizontal="left" wrapText="1"/>
    </xf>
    <xf numFmtId="0" fontId="29" fillId="0" borderId="38" xfId="7" applyFont="1" applyFill="1" applyBorder="1" applyAlignment="1">
      <alignment horizontal="left" wrapText="1"/>
    </xf>
    <xf numFmtId="0" fontId="29" fillId="0" borderId="43" xfId="7" applyFont="1" applyFill="1" applyBorder="1" applyAlignment="1">
      <alignment horizontal="left" wrapText="1"/>
    </xf>
    <xf numFmtId="176" fontId="52" fillId="0" borderId="49" xfId="26" applyNumberFormat="1" applyFont="1" applyFill="1" applyBorder="1" applyAlignment="1">
      <alignment horizontal="right"/>
    </xf>
    <xf numFmtId="176" fontId="52" fillId="0" borderId="17" xfId="26" applyNumberFormat="1" applyFont="1" applyFill="1" applyBorder="1" applyAlignment="1">
      <alignment horizontal="right"/>
    </xf>
    <xf numFmtId="0" fontId="22" fillId="0" borderId="39" xfId="7" applyFont="1" applyFill="1" applyBorder="1" applyAlignment="1">
      <alignment horizontal="center" vertical="center"/>
    </xf>
    <xf numFmtId="0" fontId="22" fillId="0" borderId="27" xfId="7" applyFont="1" applyFill="1" applyBorder="1" applyAlignment="1">
      <alignment horizontal="center" vertical="center"/>
    </xf>
    <xf numFmtId="0" fontId="22" fillId="0" borderId="40" xfId="7" applyFont="1" applyFill="1" applyBorder="1" applyAlignment="1">
      <alignment horizontal="center" vertical="center"/>
    </xf>
    <xf numFmtId="0" fontId="22" fillId="0" borderId="42" xfId="7" applyFont="1" applyFill="1" applyBorder="1" applyAlignment="1">
      <alignment horizontal="center" vertical="center"/>
    </xf>
    <xf numFmtId="0" fontId="22" fillId="0" borderId="38" xfId="7" applyFont="1" applyFill="1" applyBorder="1" applyAlignment="1">
      <alignment horizontal="center" vertical="center"/>
    </xf>
    <xf numFmtId="0" fontId="22" fillId="0" borderId="43" xfId="7" applyFont="1" applyFill="1" applyBorder="1" applyAlignment="1">
      <alignment horizontal="center" vertical="center"/>
    </xf>
    <xf numFmtId="0" fontId="22" fillId="0" borderId="39" xfId="7" applyFont="1" applyFill="1" applyBorder="1" applyAlignment="1">
      <alignment horizontal="left" vertical="center"/>
    </xf>
    <xf numFmtId="0" fontId="22" fillId="0" borderId="27" xfId="7" applyFont="1" applyFill="1" applyBorder="1" applyAlignment="1">
      <alignment horizontal="left" vertical="center"/>
    </xf>
    <xf numFmtId="0" fontId="22" fillId="0" borderId="40" xfId="7" applyFont="1" applyFill="1" applyBorder="1" applyAlignment="1">
      <alignment horizontal="left" vertical="center"/>
    </xf>
    <xf numFmtId="0" fontId="22" fillId="0" borderId="42" xfId="7" applyFont="1" applyFill="1" applyBorder="1" applyAlignment="1">
      <alignment horizontal="left" vertical="center"/>
    </xf>
    <xf numFmtId="0" fontId="22" fillId="0" borderId="38" xfId="7" applyFont="1" applyFill="1" applyBorder="1" applyAlignment="1">
      <alignment horizontal="left" vertical="center"/>
    </xf>
    <xf numFmtId="0" fontId="22" fillId="0" borderId="43" xfId="7" applyFont="1" applyFill="1" applyBorder="1" applyAlignment="1">
      <alignment horizontal="left" vertical="center"/>
    </xf>
    <xf numFmtId="174" fontId="50" fillId="0" borderId="2" xfId="25" applyNumberFormat="1" applyFont="1" applyFill="1" applyBorder="1" applyAlignment="1"/>
    <xf numFmtId="0" fontId="29" fillId="0" borderId="48" xfId="7" applyFont="1" applyFill="1" applyBorder="1" applyAlignment="1">
      <alignment horizontal="center" vertical="center"/>
    </xf>
    <xf numFmtId="0" fontId="29" fillId="0" borderId="0" xfId="7" applyFont="1" applyFill="1" applyBorder="1" applyAlignment="1">
      <alignment horizontal="center" vertical="center"/>
    </xf>
    <xf numFmtId="0" fontId="29" fillId="0" borderId="11" xfId="7" applyFont="1" applyFill="1" applyBorder="1" applyAlignment="1">
      <alignment horizontal="center" vertical="center"/>
    </xf>
    <xf numFmtId="176" fontId="29" fillId="0" borderId="48" xfId="26" applyNumberFormat="1" applyFont="1" applyFill="1" applyBorder="1" applyAlignment="1">
      <alignment horizontal="distributed" vertical="distributed"/>
    </xf>
    <xf numFmtId="0" fontId="29" fillId="0" borderId="56" xfId="7" applyFont="1" applyFill="1" applyBorder="1" applyAlignment="1">
      <alignment horizontal="center" vertical="center"/>
    </xf>
    <xf numFmtId="0" fontId="29" fillId="0" borderId="16" xfId="7" applyFont="1" applyFill="1" applyBorder="1" applyAlignment="1">
      <alignment horizontal="center" vertical="center"/>
    </xf>
    <xf numFmtId="0" fontId="29" fillId="0" borderId="22" xfId="7" applyFont="1" applyFill="1" applyBorder="1" applyAlignment="1">
      <alignment horizontal="center" vertical="center"/>
    </xf>
    <xf numFmtId="176" fontId="29" fillId="0" borderId="56" xfId="26" applyNumberFormat="1" applyFont="1" applyFill="1" applyBorder="1" applyAlignment="1">
      <alignment horizontal="distributed" vertical="distributed"/>
    </xf>
    <xf numFmtId="0" fontId="29" fillId="0" borderId="53" xfId="7" applyFont="1" applyFill="1" applyBorder="1" applyAlignment="1">
      <alignment horizontal="center"/>
    </xf>
    <xf numFmtId="0" fontId="29" fillId="0" borderId="54" xfId="7" applyFont="1" applyFill="1" applyBorder="1" applyAlignment="1">
      <alignment horizontal="center"/>
    </xf>
    <xf numFmtId="0" fontId="29" fillId="0" borderId="55" xfId="7" applyFont="1" applyFill="1" applyBorder="1" applyAlignment="1">
      <alignment horizontal="center"/>
    </xf>
    <xf numFmtId="176" fontId="29" fillId="0" borderId="53" xfId="26" applyNumberFormat="1" applyFont="1" applyFill="1" applyBorder="1" applyAlignment="1">
      <alignment horizontal="distributed" vertical="distributed"/>
    </xf>
    <xf numFmtId="176" fontId="29" fillId="0" borderId="55" xfId="26" applyNumberFormat="1" applyFont="1" applyFill="1" applyBorder="1" applyAlignment="1">
      <alignment horizontal="distributed" vertical="distributed"/>
    </xf>
    <xf numFmtId="176" fontId="50" fillId="0" borderId="53" xfId="26" applyNumberFormat="1" applyFont="1" applyFill="1" applyBorder="1" applyAlignment="1">
      <alignment horizontal="center"/>
    </xf>
    <xf numFmtId="176" fontId="50" fillId="0" borderId="55" xfId="26" applyNumberFormat="1" applyFont="1" applyFill="1" applyBorder="1" applyAlignment="1">
      <alignment horizontal="center"/>
    </xf>
    <xf numFmtId="0" fontId="29" fillId="0" borderId="50" xfId="7" applyFont="1" applyFill="1" applyBorder="1" applyAlignment="1">
      <alignment horizontal="center" vertical="center"/>
    </xf>
    <xf numFmtId="0" fontId="29" fillId="0" borderId="51" xfId="7" applyFont="1" applyFill="1" applyBorder="1" applyAlignment="1">
      <alignment horizontal="center" vertical="center"/>
    </xf>
    <xf numFmtId="0" fontId="29" fillId="0" borderId="52" xfId="7" applyFont="1" applyFill="1" applyBorder="1" applyAlignment="1">
      <alignment horizontal="center" vertical="center"/>
    </xf>
    <xf numFmtId="176" fontId="29" fillId="0" borderId="50" xfId="26" applyNumberFormat="1" applyFont="1" applyFill="1" applyBorder="1" applyAlignment="1">
      <alignment horizontal="distributed" vertical="distributed"/>
    </xf>
    <xf numFmtId="0" fontId="9" fillId="0" borderId="52" xfId="0" applyFont="1" applyFill="1" applyBorder="1" applyAlignment="1">
      <alignment horizontal="distributed" vertical="distributed"/>
    </xf>
    <xf numFmtId="176" fontId="50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0" fontId="29" fillId="0" borderId="49" xfId="7" applyFont="1" applyFill="1" applyBorder="1" applyAlignment="1">
      <alignment horizontal="center" vertical="center"/>
    </xf>
    <xf numFmtId="0" fontId="29" fillId="0" borderId="10" xfId="7" applyFont="1" applyFill="1" applyBorder="1" applyAlignment="1">
      <alignment horizontal="center" vertical="center"/>
    </xf>
    <xf numFmtId="0" fontId="29" fillId="0" borderId="17" xfId="7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distributed" vertical="distributed"/>
    </xf>
    <xf numFmtId="0" fontId="9" fillId="0" borderId="49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168" fontId="50" fillId="0" borderId="24" xfId="25" applyNumberFormat="1" applyFont="1" applyFill="1" applyBorder="1" applyAlignment="1">
      <alignment horizontal="right"/>
    </xf>
    <xf numFmtId="168" fontId="50" fillId="0" borderId="35" xfId="25" applyNumberFormat="1" applyFont="1" applyFill="1" applyBorder="1" applyAlignment="1">
      <alignment horizontal="right"/>
    </xf>
    <xf numFmtId="168" fontId="50" fillId="0" borderId="21" xfId="25" applyNumberFormat="1" applyFont="1" applyFill="1" applyBorder="1" applyAlignment="1">
      <alignment horizontal="right"/>
    </xf>
    <xf numFmtId="168" fontId="50" fillId="0" borderId="23" xfId="25" applyNumberFormat="1" applyFont="1" applyFill="1" applyBorder="1" applyAlignment="1">
      <alignment horizontal="right"/>
    </xf>
    <xf numFmtId="168" fontId="50" fillId="0" borderId="36" xfId="25" applyNumberFormat="1" applyFont="1" applyFill="1" applyBorder="1" applyAlignment="1">
      <alignment horizontal="right"/>
    </xf>
    <xf numFmtId="168" fontId="50" fillId="0" borderId="2" xfId="25" applyNumberFormat="1" applyFont="1" applyFill="1" applyBorder="1" applyAlignment="1">
      <alignment horizontal="right"/>
    </xf>
    <xf numFmtId="168" fontId="50" fillId="0" borderId="36" xfId="25" applyNumberFormat="1" applyFont="1" applyFill="1" applyBorder="1" applyAlignment="1"/>
    <xf numFmtId="0" fontId="22" fillId="0" borderId="48" xfId="7" applyFont="1" applyFill="1" applyBorder="1" applyAlignment="1">
      <alignment horizontal="center" vertical="center"/>
    </xf>
    <xf numFmtId="0" fontId="22" fillId="0" borderId="0" xfId="7" applyFont="1" applyFill="1" applyBorder="1" applyAlignment="1">
      <alignment horizontal="center" vertical="center"/>
    </xf>
    <xf numFmtId="0" fontId="22" fillId="0" borderId="11" xfId="7" applyFont="1" applyFill="1" applyBorder="1" applyAlignment="1">
      <alignment horizontal="center" vertical="center"/>
    </xf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175" fontId="29" fillId="0" borderId="39" xfId="26" applyNumberFormat="1" applyFont="1" applyFill="1" applyBorder="1" applyAlignment="1">
      <alignment horizontal="right" vertical="distributed"/>
    </xf>
    <xf numFmtId="175" fontId="29" fillId="0" borderId="48" xfId="26" applyNumberFormat="1" applyFont="1" applyFill="1" applyBorder="1" applyAlignment="1">
      <alignment horizontal="right" vertical="distributed"/>
    </xf>
    <xf numFmtId="175" fontId="29" fillId="0" borderId="42" xfId="26" applyNumberFormat="1" applyFont="1" applyFill="1" applyBorder="1" applyAlignment="1">
      <alignment horizontal="right" vertical="distributed"/>
    </xf>
    <xf numFmtId="175" fontId="22" fillId="0" borderId="39" xfId="26" applyNumberFormat="1" applyFont="1" applyFill="1" applyBorder="1" applyAlignment="1">
      <alignment horizontal="right" vertical="distributed"/>
    </xf>
    <xf numFmtId="175" fontId="22" fillId="0" borderId="42" xfId="26" applyNumberFormat="1" applyFont="1" applyFill="1" applyBorder="1" applyAlignment="1">
      <alignment horizontal="right" vertical="distributed"/>
    </xf>
    <xf numFmtId="175" fontId="50" fillId="0" borderId="39" xfId="26" applyNumberFormat="1" applyFont="1" applyFill="1" applyBorder="1" applyAlignment="1">
      <alignment horizontal="center"/>
    </xf>
    <xf numFmtId="175" fontId="50" fillId="0" borderId="40" xfId="26" applyNumberFormat="1" applyFont="1" applyFill="1" applyBorder="1" applyAlignment="1">
      <alignment horizontal="center"/>
    </xf>
    <xf numFmtId="175" fontId="50" fillId="0" borderId="48" xfId="26" applyNumberFormat="1" applyFont="1" applyFill="1" applyBorder="1" applyAlignment="1">
      <alignment horizontal="center"/>
    </xf>
    <xf numFmtId="175" fontId="50" fillId="0" borderId="11" xfId="26" applyNumberFormat="1" applyFont="1" applyFill="1" applyBorder="1" applyAlignment="1">
      <alignment horizontal="center"/>
    </xf>
    <xf numFmtId="175" fontId="50" fillId="0" borderId="42" xfId="26" applyNumberFormat="1" applyFont="1" applyFill="1" applyBorder="1" applyAlignment="1">
      <alignment horizontal="center"/>
    </xf>
    <xf numFmtId="175" fontId="50" fillId="0" borderId="43" xfId="26" applyNumberFormat="1" applyFont="1" applyFill="1" applyBorder="1" applyAlignment="1">
      <alignment horizontal="center"/>
    </xf>
    <xf numFmtId="0" fontId="29" fillId="0" borderId="45" xfId="7" applyFont="1" applyFill="1" applyBorder="1" applyAlignment="1">
      <alignment horizontal="center"/>
    </xf>
    <xf numFmtId="0" fontId="29" fillId="0" borderId="46" xfId="7" applyFont="1" applyFill="1" applyBorder="1" applyAlignment="1">
      <alignment horizontal="center"/>
    </xf>
    <xf numFmtId="0" fontId="29" fillId="0" borderId="47" xfId="7" applyFont="1" applyFill="1" applyBorder="1" applyAlignment="1">
      <alignment horizontal="center"/>
    </xf>
    <xf numFmtId="175" fontId="29" fillId="0" borderId="45" xfId="26" applyNumberFormat="1" applyFont="1" applyFill="1" applyBorder="1" applyAlignment="1">
      <alignment horizontal="right" vertical="distributed"/>
    </xf>
    <xf numFmtId="175" fontId="29" fillId="0" borderId="47" xfId="26" applyNumberFormat="1" applyFont="1" applyFill="1" applyBorder="1" applyAlignment="1">
      <alignment horizontal="right" vertical="distributed"/>
    </xf>
    <xf numFmtId="175" fontId="50" fillId="0" borderId="45" xfId="26" applyNumberFormat="1" applyFont="1" applyFill="1" applyBorder="1" applyAlignment="1">
      <alignment horizontal="center"/>
    </xf>
    <xf numFmtId="175" fontId="50" fillId="0" borderId="47" xfId="26" applyNumberFormat="1" applyFont="1" applyFill="1" applyBorder="1" applyAlignment="1">
      <alignment horizontal="center"/>
    </xf>
    <xf numFmtId="175" fontId="29" fillId="8" borderId="45" xfId="26" applyNumberFormat="1" applyFont="1" applyFill="1" applyBorder="1" applyAlignment="1">
      <alignment horizontal="right" vertical="distributed"/>
    </xf>
    <xf numFmtId="175" fontId="29" fillId="8" borderId="47" xfId="26" applyNumberFormat="1" applyFont="1" applyFill="1" applyBorder="1" applyAlignment="1">
      <alignment horizontal="right" vertical="distributed"/>
    </xf>
    <xf numFmtId="175" fontId="50" fillId="8" borderId="45" xfId="26" applyNumberFormat="1" applyFont="1" applyFill="1" applyBorder="1" applyAlignment="1">
      <alignment horizontal="center"/>
    </xf>
    <xf numFmtId="175" fontId="50" fillId="8" borderId="47" xfId="26" applyNumberFormat="1" applyFont="1" applyFill="1" applyBorder="1" applyAlignment="1">
      <alignment horizontal="center"/>
    </xf>
    <xf numFmtId="174" fontId="50" fillId="0" borderId="1" xfId="7" applyNumberFormat="1" applyFont="1" applyFill="1" applyBorder="1" applyAlignment="1"/>
    <xf numFmtId="0" fontId="29" fillId="0" borderId="45" xfId="7" applyFont="1" applyFill="1" applyBorder="1" applyAlignment="1">
      <alignment horizontal="left" vertical="center"/>
    </xf>
    <xf numFmtId="0" fontId="29" fillId="0" borderId="46" xfId="7" applyFont="1" applyFill="1" applyBorder="1" applyAlignment="1">
      <alignment horizontal="left" vertical="center"/>
    </xf>
    <xf numFmtId="0" fontId="29" fillId="0" borderId="47" xfId="7" applyFont="1" applyFill="1" applyBorder="1" applyAlignment="1">
      <alignment horizontal="left" vertical="center"/>
    </xf>
    <xf numFmtId="0" fontId="29" fillId="0" borderId="45" xfId="7" applyFont="1" applyFill="1" applyBorder="1" applyAlignment="1">
      <alignment horizontal="center" vertical="center"/>
    </xf>
    <xf numFmtId="0" fontId="29" fillId="0" borderId="46" xfId="7" applyFont="1" applyFill="1" applyBorder="1" applyAlignment="1">
      <alignment horizontal="center" vertical="center"/>
    </xf>
    <xf numFmtId="0" fontId="29" fillId="0" borderId="47" xfId="7" applyFont="1" applyFill="1" applyBorder="1" applyAlignment="1">
      <alignment horizontal="center" vertical="center"/>
    </xf>
    <xf numFmtId="0" fontId="53" fillId="0" borderId="45" xfId="0" applyFont="1" applyFill="1" applyBorder="1" applyAlignment="1">
      <alignment horizontal="left" vertical="center" wrapText="1"/>
    </xf>
    <xf numFmtId="0" fontId="53" fillId="0" borderId="46" xfId="0" applyFont="1" applyFill="1" applyBorder="1" applyAlignment="1">
      <alignment horizontal="left" vertical="center" wrapText="1"/>
    </xf>
    <xf numFmtId="0" fontId="53" fillId="0" borderId="47" xfId="0" applyFont="1" applyFill="1" applyBorder="1" applyAlignment="1">
      <alignment horizontal="left" vertical="center" wrapText="1"/>
    </xf>
    <xf numFmtId="0" fontId="53" fillId="0" borderId="39" xfId="0" applyFont="1" applyFill="1" applyBorder="1" applyAlignment="1">
      <alignment horizontal="left" wrapText="1"/>
    </xf>
    <xf numFmtId="0" fontId="53" fillId="0" borderId="27" xfId="0" applyFont="1" applyFill="1" applyBorder="1" applyAlignment="1">
      <alignment horizontal="left" wrapText="1"/>
    </xf>
    <xf numFmtId="0" fontId="53" fillId="0" borderId="40" xfId="0" applyFont="1" applyFill="1" applyBorder="1" applyAlignment="1">
      <alignment horizontal="left" wrapText="1"/>
    </xf>
    <xf numFmtId="0" fontId="53" fillId="0" borderId="42" xfId="0" applyFont="1" applyFill="1" applyBorder="1" applyAlignment="1">
      <alignment horizontal="left" wrapText="1"/>
    </xf>
    <xf numFmtId="0" fontId="53" fillId="0" borderId="38" xfId="0" applyFont="1" applyFill="1" applyBorder="1" applyAlignment="1">
      <alignment horizontal="left" wrapText="1"/>
    </xf>
    <xf numFmtId="0" fontId="53" fillId="0" borderId="43" xfId="0" applyFont="1" applyFill="1" applyBorder="1" applyAlignment="1">
      <alignment horizontal="left" wrapText="1"/>
    </xf>
    <xf numFmtId="168" fontId="50" fillId="0" borderId="1" xfId="7" applyNumberFormat="1" applyFont="1" applyFill="1" applyBorder="1" applyAlignment="1"/>
    <xf numFmtId="0" fontId="22" fillId="0" borderId="39" xfId="7" applyFont="1" applyFill="1" applyBorder="1" applyAlignment="1">
      <alignment horizontal="left"/>
    </xf>
    <xf numFmtId="0" fontId="22" fillId="0" borderId="27" xfId="7" applyFont="1" applyFill="1" applyBorder="1" applyAlignment="1">
      <alignment horizontal="left"/>
    </xf>
    <xf numFmtId="0" fontId="22" fillId="0" borderId="40" xfId="7" applyFont="1" applyFill="1" applyBorder="1" applyAlignment="1">
      <alignment horizontal="left"/>
    </xf>
    <xf numFmtId="0" fontId="22" fillId="0" borderId="42" xfId="7" applyFont="1" applyFill="1" applyBorder="1" applyAlignment="1">
      <alignment horizontal="left"/>
    </xf>
    <xf numFmtId="0" fontId="22" fillId="0" borderId="38" xfId="7" applyFont="1" applyFill="1" applyBorder="1" applyAlignment="1">
      <alignment horizontal="left"/>
    </xf>
    <xf numFmtId="0" fontId="22" fillId="0" borderId="43" xfId="7" applyFont="1" applyFill="1" applyBorder="1" applyAlignment="1">
      <alignment horizontal="left"/>
    </xf>
    <xf numFmtId="168" fontId="50" fillId="0" borderId="41" xfId="25" applyNumberFormat="1" applyFont="1" applyFill="1" applyBorder="1" applyAlignment="1"/>
    <xf numFmtId="168" fontId="50" fillId="0" borderId="44" xfId="25" applyNumberFormat="1" applyFont="1" applyFill="1" applyBorder="1" applyAlignment="1"/>
    <xf numFmtId="168" fontId="50" fillId="0" borderId="41" xfId="7" applyNumberFormat="1" applyFont="1" applyFill="1" applyBorder="1" applyAlignment="1"/>
    <xf numFmtId="168" fontId="50" fillId="0" borderId="44" xfId="7" applyNumberFormat="1" applyFont="1" applyFill="1" applyBorder="1" applyAlignment="1"/>
    <xf numFmtId="0" fontId="50" fillId="0" borderId="39" xfId="7" applyFont="1" applyFill="1" applyBorder="1" applyAlignment="1">
      <alignment horizontal="center" vertical="center"/>
    </xf>
    <xf numFmtId="0" fontId="50" fillId="0" borderId="40" xfId="7" applyFont="1" applyFill="1" applyBorder="1" applyAlignment="1">
      <alignment horizontal="center" vertical="center"/>
    </xf>
    <xf numFmtId="0" fontId="50" fillId="0" borderId="42" xfId="7" applyFont="1" applyFill="1" applyBorder="1" applyAlignment="1">
      <alignment horizontal="center" vertical="center"/>
    </xf>
    <xf numFmtId="0" fontId="50" fillId="0" borderId="43" xfId="7" applyFont="1" applyFill="1" applyBorder="1" applyAlignment="1">
      <alignment horizontal="center" vertical="center"/>
    </xf>
    <xf numFmtId="0" fontId="50" fillId="0" borderId="45" xfId="7" applyFont="1" applyFill="1" applyBorder="1" applyAlignment="1">
      <alignment horizontal="center"/>
    </xf>
    <xf numFmtId="0" fontId="50" fillId="0" borderId="47" xfId="7" applyFont="1" applyFill="1" applyBorder="1" applyAlignment="1">
      <alignment horizontal="center"/>
    </xf>
    <xf numFmtId="0" fontId="5" fillId="0" borderId="41" xfId="7" applyFont="1" applyFill="1" applyBorder="1" applyAlignment="1">
      <alignment horizontal="center"/>
    </xf>
    <xf numFmtId="0" fontId="5" fillId="0" borderId="44" xfId="7" applyFill="1" applyBorder="1" applyAlignment="1">
      <alignment horizontal="center"/>
    </xf>
    <xf numFmtId="0" fontId="33" fillId="0" borderId="0" xfId="7" applyFont="1" applyFill="1" applyAlignment="1">
      <alignment horizontal="right"/>
    </xf>
    <xf numFmtId="0" fontId="50" fillId="0" borderId="38" xfId="7" applyFont="1" applyFill="1" applyBorder="1" applyAlignment="1">
      <alignment horizontal="right"/>
    </xf>
    <xf numFmtId="0" fontId="29" fillId="0" borderId="0" xfId="0" applyFont="1" applyFill="1" applyAlignment="1">
      <alignment horizontal="right" vertical="center"/>
    </xf>
    <xf numFmtId="168" fontId="29" fillId="0" borderId="1" xfId="24" applyNumberFormat="1" applyFont="1" applyFill="1" applyBorder="1" applyAlignment="1">
      <alignment horizontal="right" vertical="distributed"/>
    </xf>
    <xf numFmtId="168" fontId="22" fillId="0" borderId="39" xfId="26" applyNumberFormat="1" applyFont="1" applyFill="1" applyBorder="1" applyAlignment="1">
      <alignment horizontal="right" vertical="distributed"/>
    </xf>
    <xf numFmtId="168" fontId="22" fillId="0" borderId="40" xfId="26" applyNumberFormat="1" applyFont="1" applyFill="1" applyBorder="1" applyAlignment="1">
      <alignment horizontal="right" vertical="distributed"/>
    </xf>
    <xf numFmtId="168" fontId="22" fillId="0" borderId="42" xfId="26" applyNumberFormat="1" applyFont="1" applyFill="1" applyBorder="1" applyAlignment="1">
      <alignment horizontal="right" vertical="distributed"/>
    </xf>
    <xf numFmtId="168" fontId="22" fillId="0" borderId="43" xfId="26" applyNumberFormat="1" applyFont="1" applyFill="1" applyBorder="1" applyAlignment="1">
      <alignment horizontal="right" vertical="distributed"/>
    </xf>
    <xf numFmtId="168" fontId="29" fillId="0" borderId="45" xfId="26" applyNumberFormat="1" applyFont="1" applyFill="1" applyBorder="1" applyAlignment="1">
      <alignment horizontal="right" vertical="distributed"/>
    </xf>
    <xf numFmtId="168" fontId="29" fillId="0" borderId="47" xfId="26" applyNumberFormat="1" applyFont="1" applyFill="1" applyBorder="1" applyAlignment="1">
      <alignment horizontal="right" vertical="distributed"/>
    </xf>
    <xf numFmtId="168" fontId="29" fillId="0" borderId="23" xfId="24" applyNumberFormat="1" applyFont="1" applyFill="1" applyBorder="1" applyAlignment="1">
      <alignment horizontal="right" vertical="distributed"/>
    </xf>
    <xf numFmtId="168" fontId="29" fillId="0" borderId="2" xfId="24" applyNumberFormat="1" applyFont="1" applyFill="1" applyBorder="1" applyAlignment="1">
      <alignment horizontal="right" vertical="distributed"/>
    </xf>
    <xf numFmtId="0" fontId="29" fillId="0" borderId="45" xfId="9" applyFont="1" applyFill="1" applyBorder="1" applyAlignment="1">
      <alignment horizontal="left" wrapText="1"/>
    </xf>
    <xf numFmtId="0" fontId="29" fillId="0" borderId="46" xfId="9" applyFont="1" applyFill="1" applyBorder="1" applyAlignment="1">
      <alignment horizontal="left" wrapText="1"/>
    </xf>
    <xf numFmtId="0" fontId="29" fillId="0" borderId="47" xfId="9" applyFont="1" applyFill="1" applyBorder="1" applyAlignment="1">
      <alignment horizontal="left" wrapText="1"/>
    </xf>
    <xf numFmtId="168" fontId="22" fillId="0" borderId="48" xfId="26" applyNumberFormat="1" applyFont="1" applyFill="1" applyBorder="1" applyAlignment="1">
      <alignment horizontal="right" vertical="distributed"/>
    </xf>
    <xf numFmtId="168" fontId="22" fillId="0" borderId="11" xfId="26" applyNumberFormat="1" applyFont="1" applyFill="1" applyBorder="1" applyAlignment="1">
      <alignment horizontal="right" vertical="distributed"/>
    </xf>
    <xf numFmtId="168" fontId="22" fillId="0" borderId="49" xfId="26" applyNumberFormat="1" applyFont="1" applyFill="1" applyBorder="1" applyAlignment="1">
      <alignment horizontal="right" vertical="distributed"/>
    </xf>
    <xf numFmtId="168" fontId="22" fillId="0" borderId="17" xfId="26" applyNumberFormat="1" applyFont="1" applyFill="1" applyBorder="1" applyAlignment="1">
      <alignment horizontal="right" vertical="distributed"/>
    </xf>
    <xf numFmtId="168" fontId="29" fillId="0" borderId="39" xfId="26" applyNumberFormat="1" applyFont="1" applyFill="1" applyBorder="1" applyAlignment="1">
      <alignment horizontal="right" vertical="distributed"/>
    </xf>
    <xf numFmtId="168" fontId="29" fillId="0" borderId="40" xfId="26" applyNumberFormat="1" applyFont="1" applyFill="1" applyBorder="1" applyAlignment="1">
      <alignment horizontal="right" vertical="distributed"/>
    </xf>
    <xf numFmtId="168" fontId="29" fillId="0" borderId="49" xfId="26" applyNumberFormat="1" applyFont="1" applyFill="1" applyBorder="1" applyAlignment="1">
      <alignment horizontal="right" vertical="distributed"/>
    </xf>
    <xf numFmtId="168" fontId="29" fillId="0" borderId="17" xfId="26" applyNumberFormat="1" applyFont="1" applyFill="1" applyBorder="1" applyAlignment="1">
      <alignment horizontal="right" vertical="distributed"/>
    </xf>
    <xf numFmtId="168" fontId="29" fillId="0" borderId="48" xfId="26" applyNumberFormat="1" applyFont="1" applyFill="1" applyBorder="1" applyAlignment="1">
      <alignment horizontal="right" vertical="distributed"/>
    </xf>
    <xf numFmtId="168" fontId="29" fillId="0" borderId="11" xfId="26" applyNumberFormat="1" applyFont="1" applyFill="1" applyBorder="1" applyAlignment="1">
      <alignment horizontal="right" vertical="distributed"/>
    </xf>
    <xf numFmtId="168" fontId="29" fillId="0" borderId="42" xfId="26" applyNumberFormat="1" applyFont="1" applyFill="1" applyBorder="1" applyAlignment="1">
      <alignment horizontal="right" vertical="distributed"/>
    </xf>
    <xf numFmtId="168" fontId="29" fillId="0" borderId="43" xfId="26" applyNumberFormat="1" applyFont="1" applyFill="1" applyBorder="1" applyAlignment="1">
      <alignment horizontal="right" vertical="distributed"/>
    </xf>
    <xf numFmtId="168" fontId="29" fillId="0" borderId="53" xfId="26" applyNumberFormat="1" applyFont="1" applyFill="1" applyBorder="1" applyAlignment="1">
      <alignment horizontal="right" vertical="distributed"/>
    </xf>
    <xf numFmtId="168" fontId="29" fillId="0" borderId="55" xfId="26" applyNumberFormat="1" applyFont="1" applyFill="1" applyBorder="1" applyAlignment="1">
      <alignment horizontal="right" vertical="distributed"/>
    </xf>
    <xf numFmtId="168" fontId="29" fillId="0" borderId="50" xfId="26" applyNumberFormat="1" applyFont="1" applyFill="1" applyBorder="1" applyAlignment="1">
      <alignment horizontal="right" vertical="distributed"/>
    </xf>
    <xf numFmtId="168" fontId="9" fillId="0" borderId="52" xfId="9" applyNumberFormat="1" applyFont="1" applyFill="1" applyBorder="1" applyAlignment="1">
      <alignment horizontal="right" vertical="distributed"/>
    </xf>
    <xf numFmtId="168" fontId="9" fillId="0" borderId="40" xfId="9" applyNumberFormat="1" applyFont="1" applyFill="1" applyBorder="1" applyAlignment="1">
      <alignment horizontal="right" vertical="distributed"/>
    </xf>
    <xf numFmtId="168" fontId="9" fillId="0" borderId="48" xfId="9" applyNumberFormat="1" applyFont="1" applyFill="1" applyBorder="1" applyAlignment="1">
      <alignment horizontal="right" vertical="distributed"/>
    </xf>
    <xf numFmtId="168" fontId="9" fillId="0" borderId="11" xfId="9" applyNumberFormat="1" applyFont="1" applyFill="1" applyBorder="1" applyAlignment="1">
      <alignment horizontal="right" vertical="distributed"/>
    </xf>
    <xf numFmtId="168" fontId="9" fillId="0" borderId="49" xfId="9" applyNumberFormat="1" applyFont="1" applyFill="1" applyBorder="1" applyAlignment="1">
      <alignment horizontal="right" vertical="distributed"/>
    </xf>
    <xf numFmtId="168" fontId="9" fillId="0" borderId="17" xfId="9" applyNumberFormat="1" applyFont="1" applyFill="1" applyBorder="1" applyAlignment="1">
      <alignment horizontal="right" vertical="distributed"/>
    </xf>
    <xf numFmtId="168" fontId="29" fillId="0" borderId="24" xfId="24" applyNumberFormat="1" applyFont="1" applyFill="1" applyBorder="1" applyAlignment="1">
      <alignment horizontal="right" vertical="distributed"/>
    </xf>
    <xf numFmtId="168" fontId="29" fillId="0" borderId="35" xfId="24" applyNumberFormat="1" applyFont="1" applyFill="1" applyBorder="1" applyAlignment="1">
      <alignment horizontal="right" vertical="distributed"/>
    </xf>
    <xf numFmtId="168" fontId="29" fillId="0" borderId="21" xfId="24" applyNumberFormat="1" applyFont="1" applyFill="1" applyBorder="1" applyAlignment="1">
      <alignment horizontal="right" vertical="distributed"/>
    </xf>
    <xf numFmtId="168" fontId="29" fillId="0" borderId="36" xfId="24" applyNumberFormat="1" applyFont="1" applyFill="1" applyBorder="1" applyAlignment="1">
      <alignment horizontal="right" vertical="distributed"/>
    </xf>
    <xf numFmtId="168" fontId="29" fillId="0" borderId="1" xfId="7" applyNumberFormat="1" applyFont="1" applyFill="1" applyBorder="1" applyAlignment="1">
      <alignment horizontal="right" vertical="distributed"/>
    </xf>
    <xf numFmtId="0" fontId="53" fillId="0" borderId="45" xfId="9" applyFont="1" applyFill="1" applyBorder="1" applyAlignment="1">
      <alignment horizontal="left" wrapText="1"/>
    </xf>
    <xf numFmtId="0" fontId="53" fillId="0" borderId="46" xfId="9" applyFont="1" applyFill="1" applyBorder="1" applyAlignment="1">
      <alignment horizontal="left" wrapText="1"/>
    </xf>
    <xf numFmtId="0" fontId="53" fillId="0" borderId="47" xfId="9" applyFont="1" applyFill="1" applyBorder="1" applyAlignment="1">
      <alignment horizontal="left" wrapText="1"/>
    </xf>
    <xf numFmtId="0" fontId="53" fillId="0" borderId="39" xfId="9" applyFont="1" applyFill="1" applyBorder="1" applyAlignment="1">
      <alignment horizontal="left" wrapText="1"/>
    </xf>
    <xf numFmtId="0" fontId="53" fillId="0" borderId="27" xfId="9" applyFont="1" applyFill="1" applyBorder="1" applyAlignment="1">
      <alignment horizontal="left" wrapText="1"/>
    </xf>
    <xf numFmtId="0" fontId="53" fillId="0" borderId="40" xfId="9" applyFont="1" applyFill="1" applyBorder="1" applyAlignment="1">
      <alignment horizontal="left" wrapText="1"/>
    </xf>
    <xf numFmtId="0" fontId="53" fillId="0" borderId="42" xfId="9" applyFont="1" applyFill="1" applyBorder="1" applyAlignment="1">
      <alignment horizontal="left" wrapText="1"/>
    </xf>
    <xf numFmtId="0" fontId="53" fillId="0" borderId="38" xfId="9" applyFont="1" applyFill="1" applyBorder="1" applyAlignment="1">
      <alignment horizontal="left" wrapText="1"/>
    </xf>
    <xf numFmtId="0" fontId="53" fillId="0" borderId="43" xfId="9" applyFont="1" applyFill="1" applyBorder="1" applyAlignment="1">
      <alignment horizontal="left" wrapText="1"/>
    </xf>
    <xf numFmtId="0" fontId="29" fillId="0" borderId="0" xfId="9" applyFont="1" applyFill="1" applyAlignment="1">
      <alignment horizontal="right" vertical="center"/>
    </xf>
    <xf numFmtId="0" fontId="34" fillId="0" borderId="0" xfId="9" applyFont="1" applyFill="1" applyAlignment="1">
      <alignment horizontal="right" vertical="center"/>
    </xf>
    <xf numFmtId="168" fontId="22" fillId="0" borderId="41" xfId="24" applyNumberFormat="1" applyFont="1" applyFill="1" applyBorder="1" applyAlignment="1"/>
    <xf numFmtId="168" fontId="22" fillId="0" borderId="44" xfId="24" applyNumberFormat="1" applyFont="1" applyFill="1" applyBorder="1" applyAlignment="1"/>
    <xf numFmtId="0" fontId="10" fillId="0" borderId="41" xfId="7" applyFont="1" applyFill="1" applyBorder="1" applyAlignment="1">
      <alignment horizontal="center"/>
    </xf>
    <xf numFmtId="0" fontId="10" fillId="0" borderId="44" xfId="7" applyFont="1" applyFill="1" applyBorder="1" applyAlignment="1">
      <alignment horizontal="center"/>
    </xf>
    <xf numFmtId="168" fontId="22" fillId="0" borderId="41" xfId="7" applyNumberFormat="1" applyFont="1" applyFill="1" applyBorder="1" applyAlignment="1"/>
    <xf numFmtId="168" fontId="22" fillId="0" borderId="44" xfId="7" applyNumberFormat="1" applyFont="1" applyFill="1" applyBorder="1" applyAlignment="1"/>
    <xf numFmtId="168" fontId="50" fillId="0" borderId="23" xfId="34" applyNumberFormat="1" applyFont="1" applyFill="1" applyBorder="1" applyAlignment="1"/>
    <xf numFmtId="168" fontId="50" fillId="0" borderId="75" xfId="34" applyNumberFormat="1" applyFont="1" applyFill="1" applyBorder="1" applyAlignment="1"/>
    <xf numFmtId="168" fontId="50" fillId="0" borderId="1" xfId="34" applyNumberFormat="1" applyFont="1" applyFill="1" applyBorder="1" applyAlignment="1"/>
    <xf numFmtId="168" fontId="50" fillId="0" borderId="4" xfId="34" applyNumberFormat="1" applyFont="1" applyFill="1" applyBorder="1" applyAlignment="1"/>
    <xf numFmtId="0" fontId="29" fillId="0" borderId="45" xfId="7" applyFont="1" applyFill="1" applyBorder="1" applyAlignment="1">
      <alignment horizontal="left" vertical="center" wrapText="1"/>
    </xf>
    <xf numFmtId="0" fontId="29" fillId="0" borderId="45" xfId="9" applyFont="1" applyBorder="1" applyAlignment="1">
      <alignment horizontal="left" wrapText="1"/>
    </xf>
    <xf numFmtId="0" fontId="29" fillId="0" borderId="46" xfId="9" applyFont="1" applyBorder="1" applyAlignment="1">
      <alignment horizontal="left" wrapText="1"/>
    </xf>
    <xf numFmtId="0" fontId="29" fillId="0" borderId="47" xfId="9" applyFont="1" applyBorder="1" applyAlignment="1">
      <alignment horizontal="left" wrapText="1"/>
    </xf>
    <xf numFmtId="175" fontId="29" fillId="0" borderId="45" xfId="26" applyNumberFormat="1" applyFont="1" applyFill="1" applyBorder="1" applyAlignment="1">
      <alignment vertical="distributed"/>
    </xf>
    <xf numFmtId="175" fontId="29" fillId="0" borderId="47" xfId="26" applyNumberFormat="1" applyFont="1" applyFill="1" applyBorder="1" applyAlignment="1">
      <alignment vertical="distributed"/>
    </xf>
    <xf numFmtId="0" fontId="29" fillId="0" borderId="46" xfId="7" applyFont="1" applyFill="1" applyBorder="1" applyAlignment="1">
      <alignment horizontal="left" vertical="center" wrapText="1"/>
    </xf>
    <xf numFmtId="0" fontId="29" fillId="0" borderId="47" xfId="7" applyFont="1" applyFill="1" applyBorder="1" applyAlignment="1">
      <alignment horizontal="left" vertical="center" wrapText="1"/>
    </xf>
    <xf numFmtId="174" fontId="50" fillId="0" borderId="1" xfId="34" applyNumberFormat="1" applyFont="1" applyFill="1" applyBorder="1" applyAlignment="1"/>
    <xf numFmtId="177" fontId="52" fillId="0" borderId="27" xfId="26" applyNumberFormat="1" applyFont="1" applyFill="1" applyBorder="1" applyAlignment="1">
      <alignment horizontal="right"/>
    </xf>
    <xf numFmtId="177" fontId="52" fillId="0" borderId="0" xfId="26" applyNumberFormat="1" applyFont="1" applyFill="1" applyBorder="1" applyAlignment="1">
      <alignment horizontal="right"/>
    </xf>
    <xf numFmtId="177" fontId="52" fillId="0" borderId="38" xfId="26" applyNumberFormat="1" applyFont="1" applyFill="1" applyBorder="1" applyAlignment="1">
      <alignment horizontal="right"/>
    </xf>
    <xf numFmtId="176" fontId="22" fillId="0" borderId="41" xfId="26" applyNumberFormat="1" applyFont="1" applyFill="1" applyBorder="1" applyAlignment="1">
      <alignment horizontal="distributed" vertical="distributed"/>
    </xf>
    <xf numFmtId="176" fontId="22" fillId="0" borderId="72" xfId="26" applyNumberFormat="1" applyFont="1" applyFill="1" applyBorder="1" applyAlignment="1">
      <alignment horizontal="distributed" vertical="distributed"/>
    </xf>
    <xf numFmtId="176" fontId="22" fillId="0" borderId="44" xfId="26" applyNumberFormat="1" applyFont="1" applyFill="1" applyBorder="1" applyAlignment="1">
      <alignment horizontal="distributed" vertical="distributed"/>
    </xf>
    <xf numFmtId="168" fontId="50" fillId="0" borderId="2" xfId="34" applyNumberFormat="1" applyFont="1" applyFill="1" applyBorder="1" applyAlignment="1"/>
    <xf numFmtId="174" fontId="50" fillId="0" borderId="2" xfId="34" applyNumberFormat="1" applyFont="1" applyFill="1" applyBorder="1" applyAlignment="1"/>
    <xf numFmtId="0" fontId="9" fillId="0" borderId="52" xfId="9" applyFont="1" applyFill="1" applyBorder="1" applyAlignment="1">
      <alignment horizontal="distributed" vertical="distributed"/>
    </xf>
    <xf numFmtId="0" fontId="6" fillId="0" borderId="52" xfId="9" applyFill="1" applyBorder="1"/>
    <xf numFmtId="174" fontId="50" fillId="0" borderId="23" xfId="34" applyNumberFormat="1" applyFont="1" applyFill="1" applyBorder="1" applyAlignment="1"/>
    <xf numFmtId="0" fontId="6" fillId="0" borderId="40" xfId="9" applyFill="1" applyBorder="1"/>
    <xf numFmtId="0" fontId="6" fillId="0" borderId="48" xfId="9" applyFill="1" applyBorder="1"/>
    <xf numFmtId="0" fontId="6" fillId="0" borderId="11" xfId="9" applyFill="1" applyBorder="1"/>
    <xf numFmtId="0" fontId="6" fillId="0" borderId="49" xfId="9" applyFill="1" applyBorder="1"/>
    <xf numFmtId="0" fontId="6" fillId="0" borderId="17" xfId="9" applyFill="1" applyBorder="1"/>
    <xf numFmtId="0" fontId="9" fillId="0" borderId="40" xfId="9" applyFont="1" applyFill="1" applyBorder="1" applyAlignment="1">
      <alignment horizontal="distributed" vertical="distributed"/>
    </xf>
    <xf numFmtId="0" fontId="9" fillId="0" borderId="11" xfId="9" applyFont="1" applyFill="1" applyBorder="1" applyAlignment="1">
      <alignment horizontal="distributed" vertical="distributed"/>
    </xf>
    <xf numFmtId="0" fontId="9" fillId="0" borderId="17" xfId="9" applyFont="1" applyFill="1" applyBorder="1" applyAlignment="1">
      <alignment horizontal="distributed" vertical="distributed"/>
    </xf>
    <xf numFmtId="0" fontId="9" fillId="0" borderId="48" xfId="9" applyFont="1" applyFill="1" applyBorder="1" applyAlignment="1">
      <alignment horizontal="distributed" vertical="distributed"/>
    </xf>
    <xf numFmtId="0" fontId="9" fillId="0" borderId="49" xfId="9" applyFont="1" applyFill="1" applyBorder="1" applyAlignment="1">
      <alignment horizontal="distributed" vertical="distributed"/>
    </xf>
    <xf numFmtId="168" fontId="50" fillId="0" borderId="36" xfId="34" applyNumberFormat="1" applyFont="1" applyFill="1" applyBorder="1" applyAlignment="1"/>
    <xf numFmtId="168" fontId="50" fillId="0" borderId="23" xfId="34" applyNumberFormat="1" applyFont="1" applyFill="1" applyBorder="1" applyAlignment="1">
      <alignment horizontal="right"/>
    </xf>
    <xf numFmtId="168" fontId="50" fillId="0" borderId="36" xfId="34" applyNumberFormat="1" applyFont="1" applyFill="1" applyBorder="1" applyAlignment="1">
      <alignment horizontal="right"/>
    </xf>
    <xf numFmtId="168" fontId="50" fillId="0" borderId="2" xfId="34" applyNumberFormat="1" applyFont="1" applyFill="1" applyBorder="1" applyAlignment="1">
      <alignment horizontal="right"/>
    </xf>
    <xf numFmtId="168" fontId="50" fillId="0" borderId="24" xfId="34" applyNumberFormat="1" applyFont="1" applyFill="1" applyBorder="1" applyAlignment="1">
      <alignment horizontal="right"/>
    </xf>
    <xf numFmtId="168" fontId="50" fillId="0" borderId="35" xfId="34" applyNumberFormat="1" applyFont="1" applyFill="1" applyBorder="1" applyAlignment="1">
      <alignment horizontal="right"/>
    </xf>
    <xf numFmtId="168" fontId="50" fillId="0" borderId="21" xfId="34" applyNumberFormat="1" applyFont="1" applyFill="1" applyBorder="1" applyAlignment="1">
      <alignment horizontal="right"/>
    </xf>
    <xf numFmtId="0" fontId="53" fillId="0" borderId="45" xfId="9" applyFont="1" applyFill="1" applyBorder="1" applyAlignment="1">
      <alignment horizontal="left" vertical="center" wrapText="1"/>
    </xf>
    <xf numFmtId="0" fontId="53" fillId="0" borderId="46" xfId="9" applyFont="1" applyFill="1" applyBorder="1" applyAlignment="1">
      <alignment horizontal="left" vertical="center" wrapText="1"/>
    </xf>
    <xf numFmtId="0" fontId="53" fillId="0" borderId="47" xfId="9" applyFont="1" applyFill="1" applyBorder="1" applyAlignment="1">
      <alignment horizontal="left" vertical="center" wrapText="1"/>
    </xf>
    <xf numFmtId="168" fontId="50" fillId="0" borderId="41" xfId="34" applyNumberFormat="1" applyFont="1" applyFill="1" applyBorder="1" applyAlignment="1"/>
    <xf numFmtId="168" fontId="50" fillId="0" borderId="44" xfId="34" applyNumberFormat="1" applyFont="1" applyFill="1" applyBorder="1" applyAlignment="1"/>
    <xf numFmtId="168" fontId="29" fillId="0" borderId="0" xfId="9" applyNumberFormat="1" applyFont="1" applyFill="1" applyAlignment="1">
      <alignment horizontal="right" vertical="center"/>
    </xf>
    <xf numFmtId="0" fontId="6" fillId="0" borderId="0" xfId="3" applyFont="1" applyFill="1" applyAlignment="1">
      <alignment horizontal="right"/>
    </xf>
    <xf numFmtId="168" fontId="6" fillId="0" borderId="0" xfId="24" applyNumberFormat="1" applyFont="1" applyFill="1" applyAlignment="1">
      <alignment horizontal="right"/>
    </xf>
    <xf numFmtId="168" fontId="50" fillId="0" borderId="75" xfId="25" applyNumberFormat="1" applyFont="1" applyFill="1" applyBorder="1" applyAlignment="1"/>
    <xf numFmtId="168" fontId="50" fillId="0" borderId="4" xfId="25" applyNumberFormat="1" applyFont="1" applyFill="1" applyBorder="1" applyAlignment="1"/>
    <xf numFmtId="0" fontId="29" fillId="0" borderId="45" xfId="0" applyFont="1" applyBorder="1" applyAlignment="1">
      <alignment horizontal="left" wrapText="1"/>
    </xf>
    <xf numFmtId="0" fontId="29" fillId="0" borderId="46" xfId="0" applyFont="1" applyBorder="1" applyAlignment="1">
      <alignment horizontal="left" wrapText="1"/>
    </xf>
    <xf numFmtId="0" fontId="29" fillId="0" borderId="47" xfId="0" applyFont="1" applyBorder="1" applyAlignment="1">
      <alignment horizontal="left" wrapText="1"/>
    </xf>
    <xf numFmtId="49" fontId="12" fillId="0" borderId="14" xfId="3" applyNumberFormat="1" applyFont="1" applyFill="1" applyBorder="1" applyAlignment="1">
      <alignment horizontal="center" vertical="center" wrapText="1"/>
    </xf>
    <xf numFmtId="49" fontId="12" fillId="0" borderId="13" xfId="3" applyNumberFormat="1" applyFont="1" applyFill="1" applyBorder="1" applyAlignment="1">
      <alignment horizontal="center" vertical="center" wrapText="1"/>
    </xf>
    <xf numFmtId="49" fontId="12" fillId="0" borderId="7" xfId="3" applyNumberFormat="1" applyFont="1" applyFill="1" applyBorder="1" applyAlignment="1">
      <alignment horizontal="center" vertical="center" wrapText="1"/>
    </xf>
    <xf numFmtId="0" fontId="31" fillId="0" borderId="0" xfId="3" applyFont="1" applyFill="1" applyAlignment="1">
      <alignment horizontal="right" vertical="center" wrapText="1"/>
    </xf>
    <xf numFmtId="0" fontId="22" fillId="0" borderId="0" xfId="35" applyFont="1" applyFill="1" applyAlignment="1">
      <alignment horizontal="center"/>
    </xf>
    <xf numFmtId="174" fontId="22" fillId="0" borderId="0" xfId="35" applyNumberFormat="1" applyFont="1" applyFill="1" applyAlignment="1">
      <alignment horizontal="center"/>
    </xf>
    <xf numFmtId="49" fontId="12" fillId="0" borderId="30" xfId="3" applyNumberFormat="1" applyFont="1" applyFill="1" applyBorder="1" applyAlignment="1">
      <alignment horizontal="center" vertical="center" wrapText="1"/>
    </xf>
    <xf numFmtId="49" fontId="12" fillId="0" borderId="10" xfId="3" applyNumberFormat="1" applyFont="1" applyFill="1" applyBorder="1" applyAlignment="1">
      <alignment horizontal="center" vertical="center" wrapText="1"/>
    </xf>
    <xf numFmtId="49" fontId="12" fillId="0" borderId="18" xfId="3" applyNumberFormat="1" applyFont="1" applyFill="1" applyBorder="1" applyAlignment="1">
      <alignment horizontal="center" vertical="center" wrapText="1"/>
    </xf>
    <xf numFmtId="176" fontId="29" fillId="0" borderId="0" xfId="9" applyNumberFormat="1" applyFont="1" applyFill="1" applyAlignment="1">
      <alignment horizontal="right" vertical="center"/>
    </xf>
    <xf numFmtId="176" fontId="33" fillId="0" borderId="0" xfId="7" applyNumberFormat="1" applyFont="1" applyFill="1" applyAlignment="1">
      <alignment horizontal="right"/>
    </xf>
    <xf numFmtId="176" fontId="6" fillId="0" borderId="0" xfId="46" applyNumberFormat="1" applyFont="1" applyFill="1" applyAlignment="1">
      <alignment horizontal="right"/>
    </xf>
    <xf numFmtId="0" fontId="22" fillId="0" borderId="0" xfId="29" applyFont="1" applyFill="1" applyAlignment="1">
      <alignment horizontal="center"/>
    </xf>
    <xf numFmtId="0" fontId="22" fillId="0" borderId="0" xfId="6" applyFont="1" applyFill="1" applyAlignment="1">
      <alignment horizontal="center"/>
    </xf>
    <xf numFmtId="0" fontId="29" fillId="0" borderId="0" xfId="3" applyFont="1" applyFill="1" applyAlignment="1">
      <alignment horizontal="right" vertical="center" wrapText="1"/>
    </xf>
    <xf numFmtId="0" fontId="44" fillId="0" borderId="0" xfId="9" applyFont="1" applyFill="1" applyAlignment="1">
      <alignment horizontal="center" vertical="top"/>
    </xf>
    <xf numFmtId="0" fontId="51" fillId="0" borderId="0" xfId="42" applyFont="1" applyFill="1" applyAlignment="1">
      <alignment horizontal="center" vertical="center" wrapText="1"/>
    </xf>
    <xf numFmtId="0" fontId="51" fillId="0" borderId="0" xfId="32" applyFont="1" applyAlignment="1">
      <alignment horizontal="center"/>
    </xf>
    <xf numFmtId="0" fontId="5" fillId="0" borderId="0" xfId="41" applyAlignment="1">
      <alignment horizontal="right"/>
    </xf>
    <xf numFmtId="0" fontId="22" fillId="0" borderId="0" xfId="27" applyFont="1" applyAlignment="1">
      <alignment horizontal="center" wrapText="1"/>
    </xf>
    <xf numFmtId="0" fontId="29" fillId="0" borderId="0" xfId="27" applyFont="1" applyAlignment="1">
      <alignment horizontal="right"/>
    </xf>
    <xf numFmtId="0" fontId="57" fillId="0" borderId="0" xfId="27" applyFont="1" applyAlignment="1">
      <alignment horizontal="center"/>
    </xf>
    <xf numFmtId="0" fontId="10" fillId="0" borderId="1" xfId="27" applyFont="1" applyBorder="1" applyAlignment="1">
      <alignment horizontal="right"/>
    </xf>
    <xf numFmtId="0" fontId="9" fillId="0" borderId="1" xfId="9" applyFont="1" applyFill="1" applyBorder="1" applyAlignment="1">
      <alignment horizontal="left" vertical="center" wrapText="1"/>
    </xf>
    <xf numFmtId="0" fontId="9" fillId="0" borderId="1" xfId="9" applyNumberFormat="1" applyFont="1" applyFill="1" applyBorder="1" applyAlignment="1" applyProtection="1">
      <alignment horizontal="left" vertical="center" wrapText="1"/>
    </xf>
    <xf numFmtId="169" fontId="9" fillId="0" borderId="1" xfId="10" applyNumberFormat="1" applyFont="1" applyFill="1" applyBorder="1" applyAlignment="1" applyProtection="1">
      <alignment horizontal="left" vertical="center" wrapText="1"/>
    </xf>
    <xf numFmtId="0" fontId="13" fillId="3" borderId="1" xfId="3" applyFont="1" applyFill="1" applyBorder="1" applyAlignment="1">
      <alignment horizontal="center" vertical="center"/>
    </xf>
    <xf numFmtId="172" fontId="9" fillId="0" borderId="1" xfId="11" applyNumberFormat="1" applyFont="1" applyFill="1" applyBorder="1" applyAlignment="1" applyProtection="1">
      <alignment horizontal="left" vertical="center" wrapText="1"/>
    </xf>
    <xf numFmtId="0" fontId="29" fillId="0" borderId="50" xfId="9" applyFont="1" applyBorder="1" applyAlignment="1">
      <alignment horizontal="left" vertical="center"/>
    </xf>
    <xf numFmtId="0" fontId="29" fillId="0" borderId="59" xfId="9" applyFont="1" applyBorder="1" applyAlignment="1">
      <alignment horizontal="left" vertical="center"/>
    </xf>
    <xf numFmtId="0" fontId="29" fillId="0" borderId="57" xfId="9" applyFont="1" applyBorder="1" applyAlignment="1">
      <alignment horizontal="left" vertical="center"/>
    </xf>
    <xf numFmtId="0" fontId="29" fillId="0" borderId="7" xfId="9" applyFont="1" applyBorder="1" applyAlignment="1">
      <alignment horizontal="left" vertical="center"/>
    </xf>
    <xf numFmtId="0" fontId="29" fillId="0" borderId="57" xfId="9" applyFont="1" applyFill="1" applyBorder="1" applyAlignment="1">
      <alignment horizontal="left" vertical="center"/>
    </xf>
    <xf numFmtId="0" fontId="29" fillId="0" borderId="7" xfId="9" applyFont="1" applyFill="1" applyBorder="1" applyAlignment="1">
      <alignment horizontal="left" vertical="center"/>
    </xf>
    <xf numFmtId="0" fontId="29" fillId="0" borderId="49" xfId="9" applyFont="1" applyBorder="1" applyAlignment="1">
      <alignment horizontal="left" vertical="center"/>
    </xf>
    <xf numFmtId="0" fontId="29" fillId="0" borderId="18" xfId="9" applyFont="1" applyBorder="1" applyAlignment="1">
      <alignment horizontal="left" vertical="center"/>
    </xf>
    <xf numFmtId="0" fontId="29" fillId="0" borderId="0" xfId="28" applyFont="1" applyAlignment="1">
      <alignment horizontal="right"/>
    </xf>
    <xf numFmtId="0" fontId="29" fillId="0" borderId="0" xfId="9" applyFont="1" applyAlignment="1">
      <alignment horizontal="right"/>
    </xf>
    <xf numFmtId="0" fontId="59" fillId="0" borderId="0" xfId="9" applyFont="1" applyAlignment="1">
      <alignment horizontal="center"/>
    </xf>
    <xf numFmtId="0" fontId="22" fillId="0" borderId="0" xfId="9" applyFont="1" applyAlignment="1">
      <alignment horizontal="center"/>
    </xf>
    <xf numFmtId="0" fontId="22" fillId="0" borderId="45" xfId="9" applyFont="1" applyBorder="1" applyAlignment="1">
      <alignment horizontal="center" vertical="center" wrapText="1"/>
    </xf>
    <xf numFmtId="0" fontId="22" fillId="0" borderId="60" xfId="9" applyFont="1" applyBorder="1" applyAlignment="1">
      <alignment horizontal="center" vertical="center" wrapText="1"/>
    </xf>
    <xf numFmtId="0" fontId="29" fillId="0" borderId="53" xfId="9" applyFont="1" applyBorder="1" applyAlignment="1">
      <alignment horizontal="left" vertical="center"/>
    </xf>
    <xf numFmtId="0" fontId="29" fillId="0" borderId="28" xfId="9" applyFont="1" applyBorder="1" applyAlignment="1">
      <alignment horizontal="left" vertical="center"/>
    </xf>
    <xf numFmtId="0" fontId="9" fillId="0" borderId="14" xfId="3" applyFont="1" applyBorder="1" applyAlignment="1">
      <alignment horizontal="right"/>
    </xf>
    <xf numFmtId="0" fontId="9" fillId="0" borderId="13" xfId="3" applyFont="1" applyBorder="1" applyAlignment="1">
      <alignment horizontal="right"/>
    </xf>
    <xf numFmtId="0" fontId="9" fillId="0" borderId="7" xfId="3" applyFont="1" applyBorder="1" applyAlignment="1">
      <alignment horizontal="right"/>
    </xf>
    <xf numFmtId="0" fontId="10" fillId="0" borderId="58" xfId="3" applyFont="1" applyFill="1" applyBorder="1" applyAlignment="1">
      <alignment horizontal="center" wrapText="1"/>
    </xf>
    <xf numFmtId="0" fontId="10" fillId="0" borderId="0" xfId="3" applyFont="1" applyFill="1" applyBorder="1" applyAlignment="1">
      <alignment horizontal="center" wrapText="1"/>
    </xf>
    <xf numFmtId="0" fontId="10" fillId="0" borderId="12" xfId="3" applyFont="1" applyFill="1" applyBorder="1" applyAlignment="1">
      <alignment horizontal="center" wrapText="1"/>
    </xf>
    <xf numFmtId="0" fontId="10" fillId="0" borderId="58" xfId="3" applyFont="1" applyBorder="1" applyAlignment="1">
      <alignment horizontal="center" wrapText="1"/>
    </xf>
    <xf numFmtId="0" fontId="10" fillId="0" borderId="0" xfId="3" applyFont="1" applyBorder="1" applyAlignment="1">
      <alignment horizontal="center" wrapText="1"/>
    </xf>
    <xf numFmtId="0" fontId="10" fillId="0" borderId="12" xfId="3" applyFont="1" applyBorder="1" applyAlignment="1">
      <alignment horizontal="center" wrapText="1"/>
    </xf>
    <xf numFmtId="0" fontId="9" fillId="0" borderId="65" xfId="3" applyFont="1" applyBorder="1" applyAlignment="1">
      <alignment horizontal="left" vertical="center" wrapText="1"/>
    </xf>
    <xf numFmtId="0" fontId="9" fillId="0" borderId="16" xfId="3" applyFont="1" applyBorder="1" applyAlignment="1">
      <alignment horizontal="left" vertical="center" wrapText="1"/>
    </xf>
    <xf numFmtId="0" fontId="9" fillId="0" borderId="30" xfId="3" applyFont="1" applyBorder="1" applyAlignment="1">
      <alignment horizontal="left" vertical="center" wrapText="1"/>
    </xf>
    <xf numFmtId="0" fontId="9" fillId="0" borderId="10" xfId="3" applyFont="1" applyBorder="1" applyAlignment="1">
      <alignment horizontal="left" vertical="center" wrapText="1"/>
    </xf>
    <xf numFmtId="0" fontId="9" fillId="0" borderId="23" xfId="3" applyFont="1" applyFill="1" applyBorder="1" applyAlignment="1">
      <alignment horizontal="center" vertical="top" wrapText="1"/>
    </xf>
    <xf numFmtId="0" fontId="9" fillId="0" borderId="2" xfId="3" applyFont="1" applyFill="1" applyBorder="1" applyAlignment="1">
      <alignment horizontal="center" vertical="top" wrapText="1"/>
    </xf>
    <xf numFmtId="0" fontId="9" fillId="0" borderId="23" xfId="3" applyFont="1" applyFill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23" xfId="9" applyFont="1" applyBorder="1" applyAlignment="1">
      <alignment horizontal="center" vertical="center" wrapText="1"/>
    </xf>
    <xf numFmtId="0" fontId="9" fillId="0" borderId="2" xfId="9" applyFont="1" applyBorder="1" applyAlignment="1">
      <alignment horizontal="center" vertical="center" wrapText="1"/>
    </xf>
    <xf numFmtId="0" fontId="10" fillId="0" borderId="30" xfId="3" applyFont="1" applyBorder="1" applyAlignment="1">
      <alignment horizontal="center" vertical="center" wrapText="1"/>
    </xf>
    <xf numFmtId="0" fontId="9" fillId="0" borderId="10" xfId="3" applyFont="1" applyBorder="1" applyAlignment="1">
      <alignment horizontal="center" vertical="center" wrapText="1"/>
    </xf>
    <xf numFmtId="0" fontId="9" fillId="0" borderId="18" xfId="3" applyFont="1" applyBorder="1" applyAlignment="1">
      <alignment horizontal="center" vertical="center" wrapText="1"/>
    </xf>
    <xf numFmtId="0" fontId="9" fillId="0" borderId="14" xfId="3" applyFont="1" applyBorder="1" applyAlignment="1">
      <alignment horizontal="left" vertical="center" wrapText="1"/>
    </xf>
    <xf numFmtId="0" fontId="9" fillId="0" borderId="7" xfId="3" applyFont="1" applyBorder="1" applyAlignment="1">
      <alignment horizontal="left" vertical="center" wrapText="1"/>
    </xf>
    <xf numFmtId="0" fontId="9" fillId="0" borderId="23" xfId="3" applyFont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 wrapText="1"/>
    </xf>
    <xf numFmtId="0" fontId="33" fillId="0" borderId="0" xfId="7" applyFont="1" applyAlignment="1">
      <alignment horizontal="right"/>
    </xf>
    <xf numFmtId="0" fontId="9" fillId="0" borderId="14" xfId="3" applyFont="1" applyFill="1" applyBorder="1" applyAlignment="1">
      <alignment horizontal="center"/>
    </xf>
    <xf numFmtId="0" fontId="9" fillId="0" borderId="13" xfId="3" applyFont="1" applyFill="1" applyBorder="1" applyAlignment="1">
      <alignment horizontal="center"/>
    </xf>
    <xf numFmtId="0" fontId="31" fillId="0" borderId="0" xfId="3" applyFont="1" applyAlignment="1">
      <alignment horizontal="right" vertical="center" wrapText="1"/>
    </xf>
    <xf numFmtId="166" fontId="29" fillId="0" borderId="0" xfId="24" applyNumberFormat="1" applyFont="1" applyFill="1" applyAlignment="1">
      <alignment horizontal="right"/>
    </xf>
    <xf numFmtId="0" fontId="9" fillId="0" borderId="23" xfId="3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center" vertical="center"/>
    </xf>
    <xf numFmtId="166" fontId="9" fillId="0" borderId="23" xfId="3" applyNumberFormat="1" applyFont="1" applyBorder="1" applyAlignment="1">
      <alignment horizontal="center" vertical="center"/>
    </xf>
    <xf numFmtId="166" fontId="9" fillId="0" borderId="2" xfId="3" applyNumberFormat="1" applyFont="1" applyBorder="1" applyAlignment="1">
      <alignment horizontal="center" vertical="center"/>
    </xf>
    <xf numFmtId="168" fontId="9" fillId="0" borderId="23" xfId="3" applyNumberFormat="1" applyFont="1" applyBorder="1" applyAlignment="1">
      <alignment horizontal="center" vertical="center"/>
    </xf>
    <xf numFmtId="168" fontId="9" fillId="0" borderId="2" xfId="3" applyNumberFormat="1" applyFont="1" applyBorder="1" applyAlignment="1">
      <alignment horizontal="center" vertical="center"/>
    </xf>
    <xf numFmtId="0" fontId="9" fillId="7" borderId="79" xfId="9" applyFont="1" applyFill="1" applyBorder="1" applyAlignment="1">
      <alignment horizontal="left" vertical="center" wrapText="1"/>
    </xf>
    <xf numFmtId="0" fontId="9" fillId="7" borderId="8" xfId="9" applyFont="1" applyFill="1" applyBorder="1" applyAlignment="1">
      <alignment horizontal="left" vertical="center" wrapText="1"/>
    </xf>
    <xf numFmtId="0" fontId="9" fillId="7" borderId="5" xfId="9" applyFont="1" applyFill="1" applyBorder="1" applyAlignment="1">
      <alignment horizontal="left" vertical="center" wrapText="1"/>
    </xf>
    <xf numFmtId="0" fontId="9" fillId="0" borderId="80" xfId="9" applyFont="1" applyBorder="1" applyAlignment="1">
      <alignment horizontal="center" vertical="center" wrapText="1"/>
    </xf>
    <xf numFmtId="0" fontId="9" fillId="0" borderId="1" xfId="9" applyFont="1" applyBorder="1" applyAlignment="1">
      <alignment horizontal="center" vertical="center" wrapText="1"/>
    </xf>
    <xf numFmtId="0" fontId="9" fillId="0" borderId="4" xfId="9" applyFont="1" applyBorder="1" applyAlignment="1">
      <alignment horizontal="center" vertical="center" wrapText="1"/>
    </xf>
    <xf numFmtId="0" fontId="17" fillId="0" borderId="8" xfId="9" applyFont="1" applyBorder="1" applyAlignment="1">
      <alignment horizontal="left" vertical="center" wrapText="1"/>
    </xf>
    <xf numFmtId="0" fontId="17" fillId="0" borderId="1" xfId="9" applyFont="1" applyBorder="1" applyAlignment="1">
      <alignment horizontal="center" vertical="center" wrapText="1"/>
    </xf>
    <xf numFmtId="0" fontId="10" fillId="0" borderId="63" xfId="9" applyFont="1" applyBorder="1" applyAlignment="1">
      <alignment horizontal="center" vertical="center" wrapText="1"/>
    </xf>
    <xf numFmtId="0" fontId="10" fillId="0" borderId="37" xfId="9" applyFont="1" applyBorder="1" applyAlignment="1">
      <alignment horizontal="center" vertical="center" wrapText="1"/>
    </xf>
    <xf numFmtId="0" fontId="9" fillId="7" borderId="21" xfId="9" applyFont="1" applyFill="1" applyBorder="1" applyAlignment="1">
      <alignment horizontal="left" vertical="center" wrapText="1"/>
    </xf>
    <xf numFmtId="0" fontId="22" fillId="0" borderId="0" xfId="32" applyFont="1" applyAlignment="1">
      <alignment horizontal="center"/>
    </xf>
    <xf numFmtId="0" fontId="9" fillId="0" borderId="41" xfId="9" applyFont="1" applyBorder="1" applyAlignment="1">
      <alignment horizontal="center" vertical="center"/>
    </xf>
    <xf numFmtId="0" fontId="9" fillId="0" borderId="72" xfId="9" applyFont="1" applyBorder="1" applyAlignment="1">
      <alignment horizontal="center" vertical="center"/>
    </xf>
    <xf numFmtId="0" fontId="9" fillId="0" borderId="44" xfId="9" applyFont="1" applyBorder="1" applyAlignment="1">
      <alignment horizontal="center" vertical="center"/>
    </xf>
    <xf numFmtId="49" fontId="10" fillId="0" borderId="45" xfId="9" applyNumberFormat="1" applyFont="1" applyBorder="1" applyAlignment="1">
      <alignment horizontal="left" vertical="center" wrapText="1"/>
    </xf>
    <xf numFmtId="49" fontId="10" fillId="0" borderId="46" xfId="9" applyNumberFormat="1" applyFont="1" applyBorder="1" applyAlignment="1">
      <alignment horizontal="left" vertical="center" wrapText="1"/>
    </xf>
    <xf numFmtId="49" fontId="10" fillId="0" borderId="47" xfId="9" applyNumberFormat="1" applyFont="1" applyBorder="1" applyAlignment="1">
      <alignment horizontal="left" vertical="center" wrapText="1"/>
    </xf>
    <xf numFmtId="0" fontId="10" fillId="0" borderId="21" xfId="9" applyFont="1" applyBorder="1" applyAlignment="1">
      <alignment horizontal="left" vertical="center" wrapText="1"/>
    </xf>
    <xf numFmtId="0" fontId="10" fillId="0" borderId="8" xfId="9" applyFont="1" applyBorder="1" applyAlignment="1">
      <alignment horizontal="left" vertical="center" wrapText="1"/>
    </xf>
    <xf numFmtId="0" fontId="10" fillId="0" borderId="5" xfId="9" applyFont="1" applyBorder="1" applyAlignment="1">
      <alignment horizontal="left" vertical="center" wrapText="1"/>
    </xf>
    <xf numFmtId="0" fontId="10" fillId="0" borderId="2" xfId="9" applyFont="1" applyBorder="1" applyAlignment="1">
      <alignment horizontal="center" vertical="center" wrapText="1"/>
    </xf>
    <xf numFmtId="0" fontId="10" fillId="0" borderId="1" xfId="9" applyFont="1" applyBorder="1" applyAlignment="1">
      <alignment horizontal="center" vertical="center" wrapText="1"/>
    </xf>
    <xf numFmtId="0" fontId="10" fillId="0" borderId="4" xfId="9" applyFont="1" applyBorder="1" applyAlignment="1">
      <alignment horizontal="center" vertical="center" wrapText="1"/>
    </xf>
    <xf numFmtId="0" fontId="10" fillId="0" borderId="63" xfId="9" applyFont="1" applyBorder="1" applyAlignment="1">
      <alignment horizontal="center" vertical="center"/>
    </xf>
    <xf numFmtId="0" fontId="10" fillId="0" borderId="37" xfId="9" applyFont="1" applyBorder="1" applyAlignment="1">
      <alignment horizontal="center" vertical="center"/>
    </xf>
    <xf numFmtId="0" fontId="10" fillId="0" borderId="77" xfId="9" applyFont="1" applyBorder="1" applyAlignment="1">
      <alignment horizontal="center" vertical="center"/>
    </xf>
    <xf numFmtId="0" fontId="10" fillId="0" borderId="39" xfId="9" applyFont="1" applyBorder="1" applyAlignment="1">
      <alignment horizontal="left" vertical="center" wrapText="1"/>
    </xf>
    <xf numFmtId="0" fontId="10" fillId="0" borderId="27" xfId="9" applyFont="1" applyBorder="1" applyAlignment="1">
      <alignment horizontal="left" vertical="center" wrapText="1"/>
    </xf>
    <xf numFmtId="0" fontId="10" fillId="0" borderId="40" xfId="9" applyFont="1" applyBorder="1" applyAlignment="1">
      <alignment horizontal="left" vertical="center" wrapText="1"/>
    </xf>
    <xf numFmtId="0" fontId="10" fillId="0" borderId="48" xfId="9" applyFont="1" applyBorder="1" applyAlignment="1">
      <alignment horizontal="left" vertical="center" wrapText="1"/>
    </xf>
    <xf numFmtId="0" fontId="10" fillId="0" borderId="0" xfId="9" applyFont="1" applyBorder="1" applyAlignment="1">
      <alignment horizontal="left" vertical="center" wrapText="1"/>
    </xf>
    <xf numFmtId="0" fontId="10" fillId="0" borderId="11" xfId="9" applyFont="1" applyBorder="1" applyAlignment="1">
      <alignment horizontal="left" vertical="center" wrapText="1"/>
    </xf>
    <xf numFmtId="0" fontId="9" fillId="0" borderId="82" xfId="9" applyFont="1" applyBorder="1" applyAlignment="1">
      <alignment horizontal="center" vertical="center"/>
    </xf>
    <xf numFmtId="0" fontId="67" fillId="7" borderId="8" xfId="9" applyFont="1" applyFill="1" applyBorder="1" applyAlignment="1">
      <alignment horizontal="center" vertical="center" wrapText="1"/>
    </xf>
    <xf numFmtId="0" fontId="67" fillId="7" borderId="1" xfId="9" applyFont="1" applyFill="1" applyBorder="1" applyAlignment="1">
      <alignment horizontal="center" vertical="center" wrapText="1"/>
    </xf>
    <xf numFmtId="0" fontId="9" fillId="0" borderId="37" xfId="9" applyFont="1" applyBorder="1" applyAlignment="1">
      <alignment horizontal="center"/>
    </xf>
    <xf numFmtId="0" fontId="10" fillId="0" borderId="29" xfId="9" applyFont="1" applyBorder="1" applyAlignment="1">
      <alignment horizontal="center" vertical="center" wrapText="1"/>
    </xf>
    <xf numFmtId="0" fontId="10" fillId="0" borderId="24" xfId="9" applyFont="1" applyBorder="1" applyAlignment="1">
      <alignment horizontal="center" vertical="center" wrapText="1"/>
    </xf>
    <xf numFmtId="0" fontId="10" fillId="0" borderId="26" xfId="9" applyFont="1" applyBorder="1" applyAlignment="1">
      <alignment horizontal="center" vertical="center" wrapText="1"/>
    </xf>
    <xf numFmtId="0" fontId="10" fillId="0" borderId="23" xfId="9" applyFont="1" applyBorder="1" applyAlignment="1">
      <alignment horizontal="center" vertical="center" wrapText="1"/>
    </xf>
    <xf numFmtId="0" fontId="9" fillId="0" borderId="36" xfId="9" applyFont="1" applyBorder="1" applyAlignment="1">
      <alignment horizontal="center" vertical="center" wrapText="1"/>
    </xf>
    <xf numFmtId="0" fontId="9" fillId="0" borderId="75" xfId="9" applyFont="1" applyBorder="1" applyAlignment="1">
      <alignment horizontal="center" vertical="center" wrapText="1"/>
    </xf>
    <xf numFmtId="0" fontId="9" fillId="0" borderId="24" xfId="9" applyFont="1" applyBorder="1" applyAlignment="1">
      <alignment horizontal="left" vertical="center" wrapText="1"/>
    </xf>
    <xf numFmtId="0" fontId="9" fillId="0" borderId="35" xfId="9" applyFont="1" applyBorder="1" applyAlignment="1">
      <alignment horizontal="left" vertical="center" wrapText="1"/>
    </xf>
    <xf numFmtId="0" fontId="9" fillId="0" borderId="78" xfId="9" applyFont="1" applyBorder="1" applyAlignment="1">
      <alignment horizontal="left" vertical="center" wrapText="1"/>
    </xf>
  </cellXfs>
  <cellStyles count="52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6" xfId="42"/>
    <cellStyle name="Обычный 6 2" xfId="48"/>
    <cellStyle name="Обычный 6 3" xfId="49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5.816406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7.1796875" style="547" hidden="1" customWidth="1"/>
    <col min="22" max="23" width="14.81640625" style="547" customWidth="1"/>
    <col min="24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870"/>
    </row>
    <row r="2" spans="8:23" hidden="1" x14ac:dyDescent="0.35">
      <c r="J2" s="541"/>
      <c r="L2" s="869" t="s">
        <v>450</v>
      </c>
      <c r="M2" s="870"/>
      <c r="N2" s="870"/>
    </row>
    <row r="3" spans="8:23" hidden="1" x14ac:dyDescent="0.3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idden="1" x14ac:dyDescent="0.35">
      <c r="I4" s="541"/>
      <c r="J4" s="541"/>
      <c r="L4" s="869" t="s">
        <v>448</v>
      </c>
      <c r="M4" s="870"/>
      <c r="N4" s="870"/>
      <c r="O4" s="870"/>
    </row>
    <row r="5" spans="8:23" hidden="1" x14ac:dyDescent="0.35">
      <c r="I5" s="541"/>
      <c r="J5" s="541"/>
      <c r="L5" s="869" t="s">
        <v>448</v>
      </c>
      <c r="M5" s="870"/>
      <c r="N5" s="870"/>
      <c r="O5" s="870"/>
    </row>
    <row r="6" spans="8:23" hidden="1" x14ac:dyDescent="0.35">
      <c r="J6" s="541"/>
      <c r="L6" s="876" t="s">
        <v>627</v>
      </c>
      <c r="M6" s="872"/>
      <c r="N6" s="872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2601" t="s">
        <v>625</v>
      </c>
      <c r="V12" s="2601"/>
      <c r="W12" s="2601"/>
    </row>
    <row r="13" spans="8:23" x14ac:dyDescent="0.35">
      <c r="Q13" s="877"/>
      <c r="U13" s="2601" t="s">
        <v>450</v>
      </c>
      <c r="V13" s="2601"/>
      <c r="W13" s="2601"/>
    </row>
    <row r="14" spans="8:23" x14ac:dyDescent="0.35">
      <c r="M14" s="261"/>
      <c r="N14" s="261"/>
      <c r="O14" s="261"/>
      <c r="P14" s="261"/>
      <c r="Q14" s="261"/>
      <c r="R14" s="261"/>
      <c r="S14" s="2601" t="s">
        <v>449</v>
      </c>
      <c r="T14" s="2601"/>
      <c r="U14" s="2601"/>
      <c r="V14" s="2601"/>
      <c r="W14" s="2601"/>
    </row>
    <row r="15" spans="8:23" x14ac:dyDescent="0.35">
      <c r="M15" s="261"/>
      <c r="N15" s="261"/>
      <c r="O15" s="261"/>
      <c r="P15" s="261"/>
      <c r="Q15" s="261"/>
      <c r="R15" s="261"/>
      <c r="T15" s="2601" t="s">
        <v>448</v>
      </c>
      <c r="U15" s="2601"/>
      <c r="V15" s="2601"/>
      <c r="W15" s="2601"/>
    </row>
    <row r="16" spans="8:23" x14ac:dyDescent="0.35">
      <c r="Q16" s="541"/>
      <c r="R16" s="387" t="s">
        <v>617</v>
      </c>
      <c r="U16" s="2603" t="s">
        <v>892</v>
      </c>
      <c r="V16" s="2603"/>
      <c r="W16" s="2603"/>
    </row>
    <row r="17" spans="1:23" x14ac:dyDescent="0.35">
      <c r="Q17" s="541"/>
      <c r="R17" s="870"/>
      <c r="S17" s="870"/>
      <c r="T17" s="870"/>
      <c r="U17" s="870"/>
    </row>
    <row r="18" spans="1:23" hidden="1" x14ac:dyDescent="0.35">
      <c r="L18" s="870" t="s">
        <v>446</v>
      </c>
      <c r="Q18" s="541"/>
      <c r="R18" s="870"/>
      <c r="S18" s="870"/>
      <c r="T18" s="870"/>
    </row>
    <row r="19" spans="1:23" hidden="1" x14ac:dyDescent="0.35">
      <c r="L19" s="541"/>
      <c r="Q19" s="541"/>
      <c r="R19" s="870"/>
      <c r="S19" s="870"/>
      <c r="T19" s="870"/>
      <c r="U19" s="870"/>
    </row>
    <row r="20" spans="1:23" hidden="1" x14ac:dyDescent="0.35">
      <c r="L20" s="870" t="s">
        <v>842</v>
      </c>
      <c r="Q20" s="541"/>
      <c r="R20" s="870"/>
      <c r="S20" s="870"/>
      <c r="T20" s="870"/>
    </row>
    <row r="21" spans="1:23" x14ac:dyDescent="0.35">
      <c r="J21" s="870"/>
      <c r="K21" s="869"/>
      <c r="L21" s="870"/>
    </row>
    <row r="22" spans="1:23" x14ac:dyDescent="0.35">
      <c r="J22" s="870"/>
      <c r="K22" s="869"/>
      <c r="L22" s="869"/>
    </row>
    <row r="23" spans="1:23" hidden="1" x14ac:dyDescent="0.35"/>
    <row r="24" spans="1:23" ht="19.5" customHeight="1" x14ac:dyDescent="0.35">
      <c r="A24" s="2352" t="s">
        <v>629</v>
      </c>
      <c r="B24" s="2352"/>
      <c r="C24" s="2352"/>
      <c r="D24" s="2352"/>
      <c r="E24" s="2352"/>
      <c r="F24" s="2352"/>
      <c r="G24" s="2352"/>
      <c r="H24" s="2352"/>
      <c r="I24" s="2352"/>
      <c r="J24" s="2352"/>
      <c r="K24" s="2352"/>
      <c r="L24" s="2352"/>
      <c r="M24" s="2352"/>
      <c r="N24" s="2352"/>
      <c r="O24" s="2352"/>
      <c r="P24" s="2352"/>
      <c r="Q24" s="2352"/>
      <c r="R24" s="2352"/>
      <c r="S24" s="2352"/>
      <c r="T24" s="2352"/>
      <c r="U24" s="2352"/>
      <c r="V24" s="2352"/>
      <c r="W24" s="2352"/>
    </row>
    <row r="25" spans="1:23" ht="17.5" x14ac:dyDescent="0.35">
      <c r="A25" s="2352" t="s">
        <v>630</v>
      </c>
      <c r="B25" s="2352"/>
      <c r="C25" s="2352"/>
      <c r="D25" s="2352"/>
      <c r="E25" s="2352"/>
      <c r="F25" s="2352"/>
      <c r="G25" s="2352"/>
      <c r="H25" s="2352"/>
      <c r="I25" s="2352"/>
      <c r="J25" s="2352"/>
      <c r="K25" s="2352"/>
      <c r="L25" s="2352"/>
      <c r="M25" s="2352"/>
      <c r="N25" s="2352"/>
      <c r="O25" s="2352"/>
      <c r="P25" s="2352"/>
      <c r="Q25" s="2352"/>
      <c r="R25" s="2352"/>
      <c r="S25" s="2352"/>
      <c r="T25" s="2352"/>
      <c r="U25" s="2352"/>
      <c r="V25" s="2352"/>
      <c r="W25" s="2352"/>
    </row>
    <row r="26" spans="1:23" ht="17.5" hidden="1" x14ac:dyDescent="0.35">
      <c r="A26" s="2352"/>
      <c r="B26" s="2352"/>
      <c r="C26" s="2352"/>
      <c r="D26" s="2352"/>
      <c r="E26" s="2352"/>
      <c r="F26" s="2352"/>
      <c r="G26" s="2352"/>
      <c r="H26" s="2352"/>
      <c r="I26" s="2352"/>
      <c r="J26" s="2352"/>
      <c r="K26" s="2352"/>
      <c r="L26" s="2352"/>
    </row>
    <row r="27" spans="1:23" ht="17.5" x14ac:dyDescent="0.35">
      <c r="A27" s="2352" t="s">
        <v>945</v>
      </c>
      <c r="B27" s="2352"/>
      <c r="C27" s="2352"/>
      <c r="D27" s="2352"/>
      <c r="E27" s="2352"/>
      <c r="F27" s="2352"/>
      <c r="G27" s="2352"/>
      <c r="H27" s="2352"/>
      <c r="I27" s="2352"/>
      <c r="J27" s="2352"/>
      <c r="K27" s="2352"/>
      <c r="L27" s="2352"/>
      <c r="M27" s="2352"/>
      <c r="N27" s="2352"/>
      <c r="O27" s="2352"/>
      <c r="P27" s="2352"/>
      <c r="Q27" s="2352"/>
      <c r="R27" s="2352"/>
      <c r="S27" s="2352"/>
      <c r="T27" s="2352"/>
      <c r="U27" s="2352"/>
      <c r="V27" s="2352"/>
      <c r="W27" s="2352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461"/>
      <c r="L28" s="2461"/>
      <c r="R28" s="2602"/>
      <c r="S28" s="2602"/>
      <c r="T28" s="2602" t="s">
        <v>631</v>
      </c>
      <c r="U28" s="2602"/>
      <c r="W28" s="541" t="s">
        <v>631</v>
      </c>
    </row>
    <row r="29" spans="1:23" x14ac:dyDescent="0.35">
      <c r="A29" s="2457" t="s">
        <v>632</v>
      </c>
      <c r="B29" s="2458"/>
      <c r="C29" s="2459"/>
      <c r="D29" s="2467" t="s">
        <v>633</v>
      </c>
      <c r="E29" s="2468"/>
      <c r="F29" s="2468"/>
      <c r="G29" s="2468"/>
      <c r="H29" s="2468"/>
      <c r="I29" s="2468"/>
      <c r="J29" s="2353"/>
      <c r="K29" s="2467" t="s">
        <v>795</v>
      </c>
      <c r="L29" s="2353"/>
      <c r="M29" s="2589" t="s">
        <v>635</v>
      </c>
      <c r="N29" s="2599" t="s">
        <v>636</v>
      </c>
      <c r="O29" s="2599" t="s">
        <v>637</v>
      </c>
      <c r="P29" s="2589" t="s">
        <v>638</v>
      </c>
      <c r="Q29" s="2591" t="s">
        <v>639</v>
      </c>
      <c r="R29" s="2593" t="s">
        <v>634</v>
      </c>
      <c r="S29" s="2594"/>
      <c r="T29" s="2593" t="s">
        <v>640</v>
      </c>
      <c r="U29" s="2594"/>
      <c r="V29" s="2353" t="s">
        <v>843</v>
      </c>
      <c r="W29" s="2353" t="s">
        <v>894</v>
      </c>
    </row>
    <row r="30" spans="1:23" ht="16" thickBot="1" x14ac:dyDescent="0.4">
      <c r="A30" s="2460" t="s">
        <v>641</v>
      </c>
      <c r="B30" s="2461"/>
      <c r="C30" s="2462"/>
      <c r="D30" s="2469"/>
      <c r="E30" s="2470"/>
      <c r="F30" s="2470"/>
      <c r="G30" s="2470"/>
      <c r="H30" s="2470"/>
      <c r="I30" s="2470"/>
      <c r="J30" s="2354"/>
      <c r="K30" s="2469"/>
      <c r="L30" s="2354"/>
      <c r="M30" s="2590"/>
      <c r="N30" s="2600"/>
      <c r="O30" s="2600"/>
      <c r="P30" s="2590"/>
      <c r="Q30" s="2592"/>
      <c r="R30" s="2595"/>
      <c r="S30" s="2596"/>
      <c r="T30" s="2595"/>
      <c r="U30" s="2596"/>
      <c r="V30" s="2354"/>
      <c r="W30" s="2354"/>
    </row>
    <row r="31" spans="1:23" ht="16" thickBot="1" x14ac:dyDescent="0.4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2555">
        <v>3</v>
      </c>
      <c r="L31" s="2557"/>
      <c r="M31" s="878"/>
      <c r="N31" s="878"/>
      <c r="O31" s="878"/>
      <c r="P31" s="878"/>
      <c r="Q31" s="879"/>
      <c r="R31" s="2597">
        <v>3</v>
      </c>
      <c r="S31" s="2598"/>
      <c r="T31" s="2597">
        <v>3</v>
      </c>
      <c r="U31" s="2598"/>
      <c r="V31" s="1043">
        <v>4</v>
      </c>
      <c r="W31" s="1043">
        <v>5</v>
      </c>
    </row>
    <row r="32" spans="1:23" ht="15.65" customHeight="1" x14ac:dyDescent="0.25">
      <c r="A32" s="2407" t="s">
        <v>642</v>
      </c>
      <c r="B32" s="2408"/>
      <c r="C32" s="2409"/>
      <c r="D32" s="2583" t="s">
        <v>643</v>
      </c>
      <c r="E32" s="2584"/>
      <c r="F32" s="2584"/>
      <c r="G32" s="2584"/>
      <c r="H32" s="2584"/>
      <c r="I32" s="2584"/>
      <c r="J32" s="2585"/>
      <c r="K32" s="2547">
        <f>K34+K38+K41+K45+K51+K57+K76+K82+K94+K98</f>
        <v>70020.800000000003</v>
      </c>
      <c r="L32" s="2355"/>
      <c r="M32" s="2372">
        <v>17235.358</v>
      </c>
      <c r="N32" s="2372"/>
      <c r="O32" s="2372"/>
      <c r="P32" s="2372">
        <f>P34+P45+P51+P57+P76+P82+P98</f>
        <v>24582.394</v>
      </c>
      <c r="Q32" s="2372">
        <v>20829</v>
      </c>
      <c r="R32" s="2540">
        <f>R34+R45+R51+R57+R76+R82+R98+R41+R38+R94</f>
        <v>73596.200000000012</v>
      </c>
      <c r="S32" s="2541"/>
      <c r="T32" s="2540">
        <f>T34+T45+T51+T57+T76+T82+T98+T41+T38+T94</f>
        <v>75660.700000000012</v>
      </c>
      <c r="U32" s="2541"/>
      <c r="V32" s="2355">
        <f>V34+V38+V41+V45+V51+V57+V76+V82+V94+V98</f>
        <v>71015</v>
      </c>
      <c r="W32" s="2355">
        <f>W34+W38+W41+W45+W51+W57+W76+W82+W94+W98</f>
        <v>73852.100000000006</v>
      </c>
    </row>
    <row r="33" spans="1:23" ht="13.9" customHeight="1" thickBot="1" x14ac:dyDescent="0.3">
      <c r="A33" s="2410"/>
      <c r="B33" s="2411"/>
      <c r="C33" s="2412"/>
      <c r="D33" s="2586"/>
      <c r="E33" s="2587"/>
      <c r="F33" s="2587"/>
      <c r="G33" s="2587"/>
      <c r="H33" s="2587"/>
      <c r="I33" s="2587"/>
      <c r="J33" s="2588"/>
      <c r="K33" s="2548"/>
      <c r="L33" s="2356"/>
      <c r="M33" s="2372"/>
      <c r="N33" s="2372"/>
      <c r="O33" s="2372"/>
      <c r="P33" s="2372"/>
      <c r="Q33" s="2372"/>
      <c r="R33" s="2542"/>
      <c r="S33" s="2543"/>
      <c r="T33" s="2542"/>
      <c r="U33" s="2543"/>
      <c r="V33" s="2356"/>
      <c r="W33" s="2356"/>
    </row>
    <row r="34" spans="1:23" ht="15" x14ac:dyDescent="0.3">
      <c r="A34" s="976" t="s">
        <v>644</v>
      </c>
      <c r="B34" s="977"/>
      <c r="C34" s="978"/>
      <c r="D34" s="2583" t="s">
        <v>645</v>
      </c>
      <c r="E34" s="2584"/>
      <c r="F34" s="2584"/>
      <c r="G34" s="2584"/>
      <c r="H34" s="2584"/>
      <c r="I34" s="2584"/>
      <c r="J34" s="2585"/>
      <c r="K34" s="2547">
        <f>K36</f>
        <v>29944</v>
      </c>
      <c r="L34" s="2355"/>
      <c r="M34" s="2372">
        <v>4523.7</v>
      </c>
      <c r="N34" s="2372"/>
      <c r="O34" s="2372"/>
      <c r="P34" s="2372">
        <f>P36</f>
        <v>5592.7</v>
      </c>
      <c r="Q34" s="2582">
        <v>4938.4639999999999</v>
      </c>
      <c r="R34" s="2540">
        <f>R36</f>
        <v>25200</v>
      </c>
      <c r="S34" s="2541"/>
      <c r="T34" s="2540">
        <f>T36</f>
        <v>26208</v>
      </c>
      <c r="U34" s="2541"/>
      <c r="V34" s="2355">
        <f>V36</f>
        <v>31122.22</v>
      </c>
      <c r="W34" s="2355">
        <f>W36</f>
        <v>32361</v>
      </c>
    </row>
    <row r="35" spans="1:23" thickBot="1" x14ac:dyDescent="0.35">
      <c r="A35" s="979" t="s">
        <v>646</v>
      </c>
      <c r="B35" s="980"/>
      <c r="C35" s="981"/>
      <c r="D35" s="2586"/>
      <c r="E35" s="2587"/>
      <c r="F35" s="2587"/>
      <c r="G35" s="2587"/>
      <c r="H35" s="2587"/>
      <c r="I35" s="2587"/>
      <c r="J35" s="2588"/>
      <c r="K35" s="2548"/>
      <c r="L35" s="2356"/>
      <c r="M35" s="2372"/>
      <c r="N35" s="2372"/>
      <c r="O35" s="2372"/>
      <c r="P35" s="2372"/>
      <c r="Q35" s="2582"/>
      <c r="R35" s="2542"/>
      <c r="S35" s="2543"/>
      <c r="T35" s="2542"/>
      <c r="U35" s="2543"/>
      <c r="V35" s="2356"/>
      <c r="W35" s="2356"/>
    </row>
    <row r="36" spans="1:23" x14ac:dyDescent="0.35">
      <c r="A36" s="2457" t="s">
        <v>647</v>
      </c>
      <c r="B36" s="2458"/>
      <c r="C36" s="2459"/>
      <c r="D36" s="982"/>
      <c r="E36" s="983"/>
      <c r="F36" s="983"/>
      <c r="G36" s="983"/>
      <c r="H36" s="983"/>
      <c r="I36" s="983"/>
      <c r="J36" s="984"/>
      <c r="K36" s="2544">
        <f>29994-50</f>
        <v>29944</v>
      </c>
      <c r="L36" s="2357"/>
      <c r="M36" s="2372">
        <v>4523.7</v>
      </c>
      <c r="N36" s="2372">
        <v>534.5</v>
      </c>
      <c r="O36" s="2372">
        <v>534.5</v>
      </c>
      <c r="P36" s="2372">
        <f>M36+N36+O36</f>
        <v>5592.7</v>
      </c>
      <c r="Q36" s="2582">
        <v>4938.4639999999999</v>
      </c>
      <c r="R36" s="2549">
        <v>25200</v>
      </c>
      <c r="S36" s="2550"/>
      <c r="T36" s="2549">
        <v>26208</v>
      </c>
      <c r="U36" s="2550"/>
      <c r="V36" s="2357">
        <f>31193-70.78</f>
        <v>31122.22</v>
      </c>
      <c r="W36" s="2357">
        <f>32411-50</f>
        <v>32361</v>
      </c>
    </row>
    <row r="37" spans="1:23" ht="16" thickBot="1" x14ac:dyDescent="0.4">
      <c r="A37" s="2460"/>
      <c r="B37" s="2461"/>
      <c r="C37" s="2462"/>
      <c r="D37" s="985" t="s">
        <v>648</v>
      </c>
      <c r="E37" s="986"/>
      <c r="F37" s="986"/>
      <c r="G37" s="986"/>
      <c r="H37" s="986"/>
      <c r="I37" s="986"/>
      <c r="J37" s="987"/>
      <c r="K37" s="2546"/>
      <c r="L37" s="2358"/>
      <c r="M37" s="2372"/>
      <c r="N37" s="2372"/>
      <c r="O37" s="2372"/>
      <c r="P37" s="2372"/>
      <c r="Q37" s="2582"/>
      <c r="R37" s="2553"/>
      <c r="S37" s="2554"/>
      <c r="T37" s="2553"/>
      <c r="U37" s="2554"/>
      <c r="V37" s="2358"/>
      <c r="W37" s="2358"/>
    </row>
    <row r="38" spans="1:23" ht="15.65" customHeight="1" x14ac:dyDescent="0.25">
      <c r="A38" s="2479" t="s">
        <v>649</v>
      </c>
      <c r="B38" s="2480"/>
      <c r="C38" s="2481"/>
      <c r="D38" s="2576" t="s">
        <v>650</v>
      </c>
      <c r="E38" s="2577"/>
      <c r="F38" s="2577"/>
      <c r="G38" s="2577"/>
      <c r="H38" s="2577"/>
      <c r="I38" s="2577"/>
      <c r="J38" s="2578"/>
      <c r="K38" s="2547">
        <f>K40</f>
        <v>917.21400000000006</v>
      </c>
      <c r="L38" s="2355"/>
      <c r="M38" s="2372">
        <v>9794</v>
      </c>
      <c r="N38" s="2372"/>
      <c r="O38" s="2372"/>
      <c r="P38" s="2372" t="e">
        <f>#REF!+P41+P42</f>
        <v>#REF!</v>
      </c>
      <c r="Q38" s="2566">
        <v>12087.288329999999</v>
      </c>
      <c r="R38" s="2540">
        <f>R40</f>
        <v>0</v>
      </c>
      <c r="S38" s="2541"/>
      <c r="T38" s="2540">
        <f>T40</f>
        <v>0</v>
      </c>
      <c r="U38" s="2541"/>
      <c r="V38" s="2355">
        <f>V40</f>
        <v>948.322</v>
      </c>
      <c r="W38" s="2355">
        <f>W40</f>
        <v>948.322</v>
      </c>
    </row>
    <row r="39" spans="1:23" ht="16.149999999999999" customHeight="1" thickBot="1" x14ac:dyDescent="0.3">
      <c r="A39" s="2482"/>
      <c r="B39" s="2483"/>
      <c r="C39" s="2484"/>
      <c r="D39" s="2579"/>
      <c r="E39" s="2580"/>
      <c r="F39" s="2580"/>
      <c r="G39" s="2580"/>
      <c r="H39" s="2580"/>
      <c r="I39" s="2580"/>
      <c r="J39" s="2581"/>
      <c r="K39" s="2548"/>
      <c r="L39" s="2356"/>
      <c r="M39" s="2372"/>
      <c r="N39" s="2372"/>
      <c r="O39" s="2372"/>
      <c r="P39" s="2372"/>
      <c r="Q39" s="2566"/>
      <c r="R39" s="2542"/>
      <c r="S39" s="2543"/>
      <c r="T39" s="2542"/>
      <c r="U39" s="2543"/>
      <c r="V39" s="2356"/>
      <c r="W39" s="2356"/>
    </row>
    <row r="40" spans="1:23" ht="31.15" customHeight="1" thickBot="1" x14ac:dyDescent="0.4">
      <c r="A40" s="2570" t="s">
        <v>651</v>
      </c>
      <c r="B40" s="2571"/>
      <c r="C40" s="2572"/>
      <c r="D40" s="2573" t="s">
        <v>652</v>
      </c>
      <c r="E40" s="2574"/>
      <c r="F40" s="2574"/>
      <c r="G40" s="2574"/>
      <c r="H40" s="2574"/>
      <c r="I40" s="2574"/>
      <c r="J40" s="2575"/>
      <c r="K40" s="2558">
        <v>917.21400000000006</v>
      </c>
      <c r="L40" s="2559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2560"/>
      <c r="S40" s="2561"/>
      <c r="T40" s="2560"/>
      <c r="U40" s="2561"/>
      <c r="V40" s="1044">
        <v>948.322</v>
      </c>
      <c r="W40" s="1044">
        <v>948.322</v>
      </c>
    </row>
    <row r="41" spans="1:23" ht="15.65" customHeight="1" x14ac:dyDescent="0.25">
      <c r="A41" s="2479" t="s">
        <v>653</v>
      </c>
      <c r="B41" s="2480"/>
      <c r="C41" s="2481"/>
      <c r="D41" s="2485" t="s">
        <v>654</v>
      </c>
      <c r="E41" s="2486"/>
      <c r="F41" s="2486"/>
      <c r="G41" s="2486"/>
      <c r="H41" s="2486"/>
      <c r="I41" s="2486"/>
      <c r="J41" s="2487"/>
      <c r="K41" s="2547">
        <f>K44</f>
        <v>489</v>
      </c>
      <c r="L41" s="2355"/>
      <c r="M41" s="2372">
        <v>9794</v>
      </c>
      <c r="N41" s="2372"/>
      <c r="O41" s="2372"/>
      <c r="P41" s="2372">
        <f>P44+P45+P46</f>
        <v>15318</v>
      </c>
      <c r="Q41" s="2566">
        <v>12087.288329999999</v>
      </c>
      <c r="R41" s="2540">
        <f>R44</f>
        <v>75.8</v>
      </c>
      <c r="S41" s="2541"/>
      <c r="T41" s="2540">
        <f>T44</f>
        <v>80</v>
      </c>
      <c r="U41" s="2541"/>
      <c r="V41" s="2355">
        <f>V44</f>
        <v>509</v>
      </c>
      <c r="W41" s="2355">
        <f>W44</f>
        <v>529</v>
      </c>
    </row>
    <row r="42" spans="1:23" ht="16.149999999999999" customHeight="1" thickBot="1" x14ac:dyDescent="0.3">
      <c r="A42" s="2482"/>
      <c r="B42" s="2483"/>
      <c r="C42" s="2484"/>
      <c r="D42" s="2488"/>
      <c r="E42" s="2489"/>
      <c r="F42" s="2489"/>
      <c r="G42" s="2489"/>
      <c r="H42" s="2489"/>
      <c r="I42" s="2489"/>
      <c r="J42" s="2490"/>
      <c r="K42" s="2548"/>
      <c r="L42" s="2356"/>
      <c r="M42" s="2372"/>
      <c r="N42" s="2372"/>
      <c r="O42" s="2372"/>
      <c r="P42" s="2372"/>
      <c r="Q42" s="2566"/>
      <c r="R42" s="2542"/>
      <c r="S42" s="2543"/>
      <c r="T42" s="2542"/>
      <c r="U42" s="2543"/>
      <c r="V42" s="2356"/>
      <c r="W42" s="2356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" thickBot="1" x14ac:dyDescent="0.4">
      <c r="A44" s="2555" t="s">
        <v>655</v>
      </c>
      <c r="B44" s="2556"/>
      <c r="C44" s="2557"/>
      <c r="D44" s="2567" t="s">
        <v>656</v>
      </c>
      <c r="E44" s="2568"/>
      <c r="F44" s="2568"/>
      <c r="G44" s="2568"/>
      <c r="H44" s="2568"/>
      <c r="I44" s="2568"/>
      <c r="J44" s="2569"/>
      <c r="K44" s="2558">
        <v>489</v>
      </c>
      <c r="L44" s="2559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2560">
        <v>75.8</v>
      </c>
      <c r="S44" s="2561"/>
      <c r="T44" s="2560">
        <v>80</v>
      </c>
      <c r="U44" s="2561"/>
      <c r="V44" s="1044">
        <v>509</v>
      </c>
      <c r="W44" s="1044">
        <v>529</v>
      </c>
    </row>
    <row r="45" spans="1:23" ht="15.65" customHeight="1" x14ac:dyDescent="0.25">
      <c r="A45" s="2479" t="s">
        <v>657</v>
      </c>
      <c r="B45" s="2480"/>
      <c r="C45" s="2481"/>
      <c r="D45" s="2485" t="s">
        <v>658</v>
      </c>
      <c r="E45" s="2486"/>
      <c r="F45" s="2486"/>
      <c r="G45" s="2486"/>
      <c r="H45" s="2486"/>
      <c r="I45" s="2486"/>
      <c r="J45" s="2487"/>
      <c r="K45" s="2547">
        <f>K48+K50+K49</f>
        <v>36055.786</v>
      </c>
      <c r="L45" s="2355"/>
      <c r="M45" s="2372">
        <v>9794</v>
      </c>
      <c r="N45" s="2372"/>
      <c r="O45" s="2372"/>
      <c r="P45" s="2372">
        <f>P48+P49+P50</f>
        <v>15194</v>
      </c>
      <c r="Q45" s="2566">
        <v>12087.288329999999</v>
      </c>
      <c r="R45" s="2540">
        <f>R48+R50+R49</f>
        <v>44797.8</v>
      </c>
      <c r="S45" s="2541"/>
      <c r="T45" s="2540">
        <f>T48+T50+T49</f>
        <v>46588.6</v>
      </c>
      <c r="U45" s="2541"/>
      <c r="V45" s="2355">
        <f>V48+V50</f>
        <v>36512.678</v>
      </c>
      <c r="W45" s="2355">
        <f>W48+W50</f>
        <v>38023.896999999997</v>
      </c>
    </row>
    <row r="46" spans="1:23" ht="16.149999999999999" customHeight="1" thickBot="1" x14ac:dyDescent="0.3">
      <c r="A46" s="2482"/>
      <c r="B46" s="2483"/>
      <c r="C46" s="2484"/>
      <c r="D46" s="2488"/>
      <c r="E46" s="2489"/>
      <c r="F46" s="2489"/>
      <c r="G46" s="2489"/>
      <c r="H46" s="2489"/>
      <c r="I46" s="2489"/>
      <c r="J46" s="2490"/>
      <c r="K46" s="2548"/>
      <c r="L46" s="2356"/>
      <c r="M46" s="2372"/>
      <c r="N46" s="2372"/>
      <c r="O46" s="2372"/>
      <c r="P46" s="2372"/>
      <c r="Q46" s="2566"/>
      <c r="R46" s="2542"/>
      <c r="S46" s="2543"/>
      <c r="T46" s="2542"/>
      <c r="U46" s="2543"/>
      <c r="V46" s="2356"/>
      <c r="W46" s="2356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" thickBot="1" x14ac:dyDescent="0.4">
      <c r="A48" s="2555" t="s">
        <v>659</v>
      </c>
      <c r="B48" s="2556"/>
      <c r="C48" s="2557"/>
      <c r="D48" s="972" t="s">
        <v>660</v>
      </c>
      <c r="E48" s="975"/>
      <c r="F48" s="975"/>
      <c r="G48" s="975"/>
      <c r="H48" s="975"/>
      <c r="I48" s="975"/>
      <c r="J48" s="974"/>
      <c r="K48" s="2558">
        <v>6290</v>
      </c>
      <c r="L48" s="2559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2560">
        <v>3816</v>
      </c>
      <c r="S48" s="2561"/>
      <c r="T48" s="2560">
        <v>3968.6</v>
      </c>
      <c r="U48" s="2561"/>
      <c r="V48" s="1044">
        <f>6542-976</f>
        <v>5566</v>
      </c>
      <c r="W48" s="1044">
        <f>6803-976.781</f>
        <v>5826.2190000000001</v>
      </c>
    </row>
    <row r="49" spans="1:23" ht="15.65" hidden="1" customHeight="1" thickBot="1" x14ac:dyDescent="0.4">
      <c r="A49" s="2555" t="s">
        <v>661</v>
      </c>
      <c r="B49" s="2556"/>
      <c r="C49" s="2557"/>
      <c r="D49" s="996" t="s">
        <v>662</v>
      </c>
      <c r="E49" s="997"/>
      <c r="F49" s="997"/>
      <c r="G49" s="997"/>
      <c r="H49" s="997"/>
      <c r="I49" s="997"/>
      <c r="J49" s="998"/>
      <c r="K49" s="2558"/>
      <c r="L49" s="2559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2560">
        <v>9783.7999999999993</v>
      </c>
      <c r="S49" s="2561"/>
      <c r="T49" s="2560">
        <v>10175</v>
      </c>
      <c r="U49" s="2561"/>
      <c r="V49" s="1044"/>
      <c r="W49" s="1044"/>
    </row>
    <row r="50" spans="1:23" ht="16" thickBot="1" x14ac:dyDescent="0.4">
      <c r="A50" s="2555" t="s">
        <v>663</v>
      </c>
      <c r="B50" s="2556"/>
      <c r="C50" s="2557"/>
      <c r="D50" s="972" t="s">
        <v>664</v>
      </c>
      <c r="E50" s="975"/>
      <c r="F50" s="975"/>
      <c r="G50" s="975"/>
      <c r="H50" s="975"/>
      <c r="I50" s="975"/>
      <c r="J50" s="974"/>
      <c r="K50" s="2562">
        <f>29811-45.214</f>
        <v>29765.786</v>
      </c>
      <c r="L50" s="2563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2564">
        <v>31198</v>
      </c>
      <c r="S50" s="2565"/>
      <c r="T50" s="2564">
        <v>32445</v>
      </c>
      <c r="U50" s="2565"/>
      <c r="V50" s="1750">
        <f>31003-56.322</f>
        <v>30946.678</v>
      </c>
      <c r="W50" s="1750">
        <f>32244-46.322</f>
        <v>32197.678</v>
      </c>
    </row>
    <row r="51" spans="1:23" ht="15.65" customHeight="1" x14ac:dyDescent="0.25">
      <c r="A51" s="2479" t="s">
        <v>665</v>
      </c>
      <c r="B51" s="2480"/>
      <c r="C51" s="2481"/>
      <c r="D51" s="2485" t="s">
        <v>666</v>
      </c>
      <c r="E51" s="2486"/>
      <c r="F51" s="2486"/>
      <c r="G51" s="2486"/>
      <c r="H51" s="2486"/>
      <c r="I51" s="2486"/>
      <c r="J51" s="2487"/>
      <c r="K51" s="2547">
        <f>K53</f>
        <v>5</v>
      </c>
      <c r="L51" s="2355"/>
      <c r="M51" s="2372">
        <v>17</v>
      </c>
      <c r="N51" s="2372"/>
      <c r="O51" s="2372"/>
      <c r="P51" s="2372">
        <f>M51+N51+O51</f>
        <v>17</v>
      </c>
      <c r="Q51" s="2372">
        <v>3.9649999999999999</v>
      </c>
      <c r="R51" s="2540">
        <f>R53</f>
        <v>8</v>
      </c>
      <c r="S51" s="2541"/>
      <c r="T51" s="2540">
        <f>T53</f>
        <v>10</v>
      </c>
      <c r="U51" s="2541"/>
      <c r="V51" s="2355">
        <f>V53</f>
        <v>7</v>
      </c>
      <c r="W51" s="2355">
        <f>W53</f>
        <v>10</v>
      </c>
    </row>
    <row r="52" spans="1:23" ht="13.9" customHeight="1" thickBot="1" x14ac:dyDescent="0.3">
      <c r="A52" s="2482"/>
      <c r="B52" s="2483"/>
      <c r="C52" s="2484"/>
      <c r="D52" s="2488"/>
      <c r="E52" s="2489"/>
      <c r="F52" s="2489"/>
      <c r="G52" s="2489"/>
      <c r="H52" s="2489"/>
      <c r="I52" s="2489"/>
      <c r="J52" s="2490"/>
      <c r="K52" s="2548"/>
      <c r="L52" s="2356"/>
      <c r="M52" s="2372"/>
      <c r="N52" s="2372"/>
      <c r="O52" s="2372"/>
      <c r="P52" s="2372"/>
      <c r="Q52" s="2372"/>
      <c r="R52" s="2542"/>
      <c r="S52" s="2543"/>
      <c r="T52" s="2542"/>
      <c r="U52" s="2543"/>
      <c r="V52" s="2356"/>
      <c r="W52" s="2356"/>
    </row>
    <row r="53" spans="1:23" x14ac:dyDescent="0.35">
      <c r="A53" s="2467" t="s">
        <v>667</v>
      </c>
      <c r="B53" s="2468"/>
      <c r="C53" s="2353"/>
      <c r="D53" s="982" t="s">
        <v>668</v>
      </c>
      <c r="E53" s="983"/>
      <c r="F53" s="983"/>
      <c r="G53" s="983"/>
      <c r="H53" s="983"/>
      <c r="I53" s="983"/>
      <c r="J53" s="983"/>
      <c r="K53" s="2544">
        <v>5</v>
      </c>
      <c r="L53" s="2357"/>
      <c r="M53" s="2372">
        <v>17</v>
      </c>
      <c r="N53" s="2372"/>
      <c r="O53" s="2372"/>
      <c r="P53" s="2372">
        <f>M53+N53+O53</f>
        <v>17</v>
      </c>
      <c r="Q53" s="2372">
        <v>3.9649999999999999</v>
      </c>
      <c r="R53" s="2549">
        <v>8</v>
      </c>
      <c r="S53" s="2550"/>
      <c r="T53" s="2549">
        <v>10</v>
      </c>
      <c r="U53" s="2550"/>
      <c r="V53" s="2357">
        <v>7</v>
      </c>
      <c r="W53" s="2357">
        <v>10</v>
      </c>
    </row>
    <row r="54" spans="1:23" x14ac:dyDescent="0.35">
      <c r="A54" s="2492"/>
      <c r="B54" s="2493"/>
      <c r="C54" s="2494"/>
      <c r="D54" s="996" t="s">
        <v>669</v>
      </c>
      <c r="E54" s="997"/>
      <c r="F54" s="997"/>
      <c r="G54" s="997"/>
      <c r="H54" s="997"/>
      <c r="I54" s="997"/>
      <c r="J54" s="997"/>
      <c r="K54" s="2545"/>
      <c r="L54" s="2359"/>
      <c r="M54" s="2372"/>
      <c r="N54" s="2372"/>
      <c r="O54" s="2372"/>
      <c r="P54" s="2372"/>
      <c r="Q54" s="2372"/>
      <c r="R54" s="2551"/>
      <c r="S54" s="2552"/>
      <c r="T54" s="2551"/>
      <c r="U54" s="2552"/>
      <c r="V54" s="2359"/>
      <c r="W54" s="2359"/>
    </row>
    <row r="55" spans="1:23" x14ac:dyDescent="0.35">
      <c r="A55" s="2492"/>
      <c r="B55" s="2493"/>
      <c r="C55" s="2494"/>
      <c r="D55" s="996" t="s">
        <v>670</v>
      </c>
      <c r="E55" s="997"/>
      <c r="F55" s="997"/>
      <c r="G55" s="997"/>
      <c r="H55" s="997"/>
      <c r="I55" s="997"/>
      <c r="J55" s="997"/>
      <c r="K55" s="2545"/>
      <c r="L55" s="2359"/>
      <c r="M55" s="2372"/>
      <c r="N55" s="2372"/>
      <c r="O55" s="2372"/>
      <c r="P55" s="2372"/>
      <c r="Q55" s="2372"/>
      <c r="R55" s="2551"/>
      <c r="S55" s="2552"/>
      <c r="T55" s="2551"/>
      <c r="U55" s="2552"/>
      <c r="V55" s="2359"/>
      <c r="W55" s="2359"/>
    </row>
    <row r="56" spans="1:23" ht="16" thickBot="1" x14ac:dyDescent="0.4">
      <c r="A56" s="2469"/>
      <c r="B56" s="2470"/>
      <c r="C56" s="2354"/>
      <c r="D56" s="985" t="s">
        <v>671</v>
      </c>
      <c r="E56" s="986"/>
      <c r="F56" s="986"/>
      <c r="G56" s="986"/>
      <c r="H56" s="986"/>
      <c r="I56" s="986"/>
      <c r="J56" s="986"/>
      <c r="K56" s="2546"/>
      <c r="L56" s="2358"/>
      <c r="M56" s="2372"/>
      <c r="N56" s="2372"/>
      <c r="O56" s="2372"/>
      <c r="P56" s="2372"/>
      <c r="Q56" s="2372"/>
      <c r="R56" s="2553"/>
      <c r="S56" s="2554"/>
      <c r="T56" s="2553"/>
      <c r="U56" s="2554"/>
      <c r="V56" s="2358"/>
      <c r="W56" s="2358"/>
    </row>
    <row r="57" spans="1:23" ht="15" x14ac:dyDescent="0.3">
      <c r="A57" s="2479" t="s">
        <v>672</v>
      </c>
      <c r="B57" s="2480"/>
      <c r="C57" s="2481"/>
      <c r="D57" s="976" t="s">
        <v>673</v>
      </c>
      <c r="E57" s="977"/>
      <c r="F57" s="977"/>
      <c r="G57" s="977"/>
      <c r="H57" s="977"/>
      <c r="I57" s="977"/>
      <c r="J57" s="978"/>
      <c r="K57" s="2449">
        <f>K60+K64+K72+K68</f>
        <v>1785.3</v>
      </c>
      <c r="L57" s="2350"/>
      <c r="M57" s="2372">
        <v>2183.6579999999999</v>
      </c>
      <c r="N57" s="2372"/>
      <c r="O57" s="2372"/>
      <c r="P57" s="2372">
        <f>P60+P64+P72</f>
        <v>2913.6940000000004</v>
      </c>
      <c r="Q57" s="2383">
        <v>2859.2967100000001</v>
      </c>
      <c r="R57" s="2534">
        <f>R60+R64+R72+R68</f>
        <v>1933</v>
      </c>
      <c r="S57" s="2535"/>
      <c r="T57" s="2534">
        <f>T60+T64+T72+T68</f>
        <v>1975</v>
      </c>
      <c r="U57" s="2535"/>
      <c r="V57" s="2350">
        <f>V68+V72</f>
        <v>1842.78</v>
      </c>
      <c r="W57" s="2350">
        <f>W68+W72</f>
        <v>1903.681</v>
      </c>
    </row>
    <row r="58" spans="1:23" ht="15" x14ac:dyDescent="0.3">
      <c r="A58" s="2531"/>
      <c r="B58" s="2532"/>
      <c r="C58" s="2533"/>
      <c r="D58" s="999" t="s">
        <v>674</v>
      </c>
      <c r="E58" s="1000"/>
      <c r="F58" s="1000"/>
      <c r="G58" s="1000"/>
      <c r="H58" s="1000"/>
      <c r="I58" s="1000"/>
      <c r="J58" s="1001"/>
      <c r="K58" s="2450"/>
      <c r="L58" s="2360"/>
      <c r="M58" s="2372"/>
      <c r="N58" s="2372"/>
      <c r="O58" s="2372"/>
      <c r="P58" s="2372"/>
      <c r="Q58" s="2383"/>
      <c r="R58" s="2536"/>
      <c r="S58" s="2537"/>
      <c r="T58" s="2536"/>
      <c r="U58" s="2537"/>
      <c r="V58" s="2360"/>
      <c r="W58" s="2360"/>
    </row>
    <row r="59" spans="1:23" thickBot="1" x14ac:dyDescent="0.35">
      <c r="A59" s="2482"/>
      <c r="B59" s="2483"/>
      <c r="C59" s="2484"/>
      <c r="D59" s="979" t="s">
        <v>675</v>
      </c>
      <c r="E59" s="980"/>
      <c r="F59" s="980"/>
      <c r="G59" s="980"/>
      <c r="H59" s="980"/>
      <c r="I59" s="980"/>
      <c r="J59" s="981"/>
      <c r="K59" s="2451"/>
      <c r="L59" s="2351"/>
      <c r="M59" s="2372"/>
      <c r="N59" s="2372"/>
      <c r="O59" s="2372"/>
      <c r="P59" s="2372"/>
      <c r="Q59" s="2383"/>
      <c r="R59" s="2538"/>
      <c r="S59" s="2539"/>
      <c r="T59" s="2538"/>
      <c r="U59" s="2539"/>
      <c r="V59" s="2351"/>
      <c r="W59" s="2351"/>
    </row>
    <row r="60" spans="1:23" ht="15.65" hidden="1" customHeight="1" thickBot="1" x14ac:dyDescent="0.4">
      <c r="A60" s="2467" t="s">
        <v>676</v>
      </c>
      <c r="B60" s="2468"/>
      <c r="C60" s="2353"/>
      <c r="D60" s="982" t="s">
        <v>677</v>
      </c>
      <c r="E60" s="983"/>
      <c r="F60" s="983"/>
      <c r="G60" s="983"/>
      <c r="H60" s="983"/>
      <c r="I60" s="983"/>
      <c r="J60" s="984"/>
      <c r="K60" s="2463"/>
      <c r="L60" s="2361"/>
      <c r="M60" s="2372">
        <v>1030</v>
      </c>
      <c r="N60" s="2372">
        <v>140</v>
      </c>
      <c r="O60" s="2372">
        <v>140</v>
      </c>
      <c r="P60" s="2372">
        <f>M60+N60+O60</f>
        <v>1310</v>
      </c>
      <c r="Q60" s="2383">
        <v>1430.7293099999999</v>
      </c>
      <c r="R60" s="2379"/>
      <c r="S60" s="2380"/>
      <c r="T60" s="2379"/>
      <c r="U60" s="2380"/>
      <c r="V60" s="2361"/>
      <c r="W60" s="2361"/>
    </row>
    <row r="61" spans="1:23" ht="15.65" hidden="1" customHeight="1" thickBot="1" x14ac:dyDescent="0.4">
      <c r="A61" s="2492"/>
      <c r="B61" s="2493"/>
      <c r="C61" s="2494"/>
      <c r="D61" s="996" t="s">
        <v>678</v>
      </c>
      <c r="E61" s="997"/>
      <c r="F61" s="997"/>
      <c r="G61" s="997"/>
      <c r="H61" s="997"/>
      <c r="I61" s="997"/>
      <c r="J61" s="998"/>
      <c r="K61" s="2495"/>
      <c r="L61" s="2362"/>
      <c r="M61" s="2372"/>
      <c r="N61" s="2372"/>
      <c r="O61" s="2372"/>
      <c r="P61" s="2372"/>
      <c r="Q61" s="2383"/>
      <c r="R61" s="2381"/>
      <c r="S61" s="2382"/>
      <c r="T61" s="2381"/>
      <c r="U61" s="2382"/>
      <c r="V61" s="2362"/>
      <c r="W61" s="2362"/>
    </row>
    <row r="62" spans="1:23" ht="15.65" hidden="1" customHeight="1" thickBot="1" x14ac:dyDescent="0.4">
      <c r="A62" s="2492"/>
      <c r="B62" s="2493"/>
      <c r="C62" s="2494"/>
      <c r="D62" s="996" t="s">
        <v>679</v>
      </c>
      <c r="E62" s="997"/>
      <c r="F62" s="997"/>
      <c r="G62" s="997"/>
      <c r="H62" s="997"/>
      <c r="I62" s="997"/>
      <c r="J62" s="998"/>
      <c r="K62" s="2495"/>
      <c r="L62" s="2362"/>
      <c r="M62" s="2372"/>
      <c r="N62" s="2372"/>
      <c r="O62" s="2372"/>
      <c r="P62" s="2372"/>
      <c r="Q62" s="2383"/>
      <c r="R62" s="2381"/>
      <c r="S62" s="2382"/>
      <c r="T62" s="2381"/>
      <c r="U62" s="2382"/>
      <c r="V62" s="2362"/>
      <c r="W62" s="2362"/>
    </row>
    <row r="63" spans="1:23" ht="15.65" hidden="1" customHeight="1" thickBot="1" x14ac:dyDescent="0.4">
      <c r="A63" s="2469"/>
      <c r="B63" s="2470"/>
      <c r="C63" s="2354"/>
      <c r="D63" s="985" t="s">
        <v>680</v>
      </c>
      <c r="E63" s="986"/>
      <c r="F63" s="986"/>
      <c r="G63" s="986"/>
      <c r="H63" s="986"/>
      <c r="I63" s="986"/>
      <c r="J63" s="987"/>
      <c r="K63" s="2464"/>
      <c r="L63" s="2363"/>
      <c r="M63" s="2372"/>
      <c r="N63" s="2372"/>
      <c r="O63" s="2372"/>
      <c r="P63" s="2372"/>
      <c r="Q63" s="2383"/>
      <c r="R63" s="2389"/>
      <c r="S63" s="2390"/>
      <c r="T63" s="2389"/>
      <c r="U63" s="2390"/>
      <c r="V63" s="2363"/>
      <c r="W63" s="2363"/>
    </row>
    <row r="64" spans="1:23" ht="15.65" hidden="1" customHeight="1" thickBot="1" x14ac:dyDescent="0.4">
      <c r="A64" s="2467" t="s">
        <v>681</v>
      </c>
      <c r="B64" s="2468"/>
      <c r="C64" s="2353"/>
      <c r="D64" s="982" t="s">
        <v>682</v>
      </c>
      <c r="E64" s="983"/>
      <c r="F64" s="983"/>
      <c r="G64" s="983"/>
      <c r="H64" s="983"/>
      <c r="I64" s="983"/>
      <c r="J64" s="984"/>
      <c r="K64" s="2463"/>
      <c r="L64" s="2361"/>
      <c r="M64" s="2372">
        <v>928.55</v>
      </c>
      <c r="N64" s="2372">
        <v>200</v>
      </c>
      <c r="O64" s="2372">
        <v>200</v>
      </c>
      <c r="P64" s="2372">
        <f>M64+N64+O64</f>
        <v>1328.55</v>
      </c>
      <c r="Q64" s="2383">
        <v>1007.7294000000001</v>
      </c>
      <c r="R64" s="2379"/>
      <c r="S64" s="2380"/>
      <c r="T64" s="2379"/>
      <c r="U64" s="2380"/>
      <c r="V64" s="2361"/>
      <c r="W64" s="2361"/>
    </row>
    <row r="65" spans="1:23" ht="14.25" hidden="1" customHeight="1" x14ac:dyDescent="0.35">
      <c r="A65" s="2492"/>
      <c r="B65" s="2493"/>
      <c r="C65" s="2494"/>
      <c r="D65" s="996" t="s">
        <v>683</v>
      </c>
      <c r="E65" s="997"/>
      <c r="F65" s="997"/>
      <c r="G65" s="997"/>
      <c r="H65" s="997"/>
      <c r="I65" s="997"/>
      <c r="J65" s="998"/>
      <c r="K65" s="2495"/>
      <c r="L65" s="2362"/>
      <c r="M65" s="2372"/>
      <c r="N65" s="2372"/>
      <c r="O65" s="2372"/>
      <c r="P65" s="2372"/>
      <c r="Q65" s="2383"/>
      <c r="R65" s="2381"/>
      <c r="S65" s="2382"/>
      <c r="T65" s="2381"/>
      <c r="U65" s="2382"/>
      <c r="V65" s="2362"/>
      <c r="W65" s="2362"/>
    </row>
    <row r="66" spans="1:23" ht="15.75" hidden="1" customHeight="1" x14ac:dyDescent="0.35">
      <c r="A66" s="2492"/>
      <c r="B66" s="2493"/>
      <c r="C66" s="2494"/>
      <c r="D66" s="996" t="s">
        <v>684</v>
      </c>
      <c r="E66" s="997"/>
      <c r="F66" s="997"/>
      <c r="G66" s="997"/>
      <c r="H66" s="997"/>
      <c r="I66" s="997"/>
      <c r="J66" s="998"/>
      <c r="K66" s="2495"/>
      <c r="L66" s="2362"/>
      <c r="M66" s="2372"/>
      <c r="N66" s="2372"/>
      <c r="O66" s="2372"/>
      <c r="P66" s="2372"/>
      <c r="Q66" s="2383"/>
      <c r="R66" s="2381"/>
      <c r="S66" s="2382"/>
      <c r="T66" s="2381"/>
      <c r="U66" s="2382"/>
      <c r="V66" s="2362"/>
      <c r="W66" s="2362"/>
    </row>
    <row r="67" spans="1:23" ht="15.75" hidden="1" customHeight="1" thickBot="1" x14ac:dyDescent="0.4">
      <c r="A67" s="2469"/>
      <c r="B67" s="2470"/>
      <c r="C67" s="2354"/>
      <c r="D67" s="985" t="s">
        <v>685</v>
      </c>
      <c r="E67" s="986"/>
      <c r="F67" s="986"/>
      <c r="G67" s="986"/>
      <c r="H67" s="986"/>
      <c r="I67" s="986"/>
      <c r="J67" s="987"/>
      <c r="K67" s="2464"/>
      <c r="L67" s="2363"/>
      <c r="M67" s="2372"/>
      <c r="N67" s="2372"/>
      <c r="O67" s="2372"/>
      <c r="P67" s="2372"/>
      <c r="Q67" s="2383"/>
      <c r="R67" s="2389"/>
      <c r="S67" s="2390"/>
      <c r="T67" s="2389"/>
      <c r="U67" s="2390"/>
      <c r="V67" s="2363"/>
      <c r="W67" s="2363"/>
    </row>
    <row r="68" spans="1:23" x14ac:dyDescent="0.35">
      <c r="A68" s="2467" t="s">
        <v>686</v>
      </c>
      <c r="B68" s="2468"/>
      <c r="C68" s="2353"/>
      <c r="D68" s="1002"/>
      <c r="E68" s="997"/>
      <c r="F68" s="997"/>
      <c r="G68" s="997"/>
      <c r="H68" s="997"/>
      <c r="I68" s="997"/>
      <c r="J68" s="998"/>
      <c r="K68" s="2463">
        <v>850.3</v>
      </c>
      <c r="L68" s="2361"/>
      <c r="M68" s="2372">
        <v>928.55</v>
      </c>
      <c r="N68" s="2372">
        <v>200</v>
      </c>
      <c r="O68" s="2372">
        <v>200</v>
      </c>
      <c r="P68" s="2372">
        <f>M68+N68+O68</f>
        <v>1328.55</v>
      </c>
      <c r="Q68" s="2383">
        <v>1007.7294000000001</v>
      </c>
      <c r="R68" s="2379">
        <v>1035</v>
      </c>
      <c r="S68" s="2380"/>
      <c r="T68" s="2379">
        <v>1040</v>
      </c>
      <c r="U68" s="2380"/>
      <c r="V68" s="2361">
        <v>851.68</v>
      </c>
      <c r="W68" s="2361">
        <v>853.08100000000002</v>
      </c>
    </row>
    <row r="69" spans="1:23" ht="14.25" customHeight="1" x14ac:dyDescent="0.35">
      <c r="A69" s="2492"/>
      <c r="B69" s="2493"/>
      <c r="C69" s="2494"/>
      <c r="D69" s="997" t="s">
        <v>687</v>
      </c>
      <c r="E69" s="997"/>
      <c r="F69" s="997"/>
      <c r="G69" s="997"/>
      <c r="H69" s="997"/>
      <c r="I69" s="997"/>
      <c r="J69" s="998"/>
      <c r="K69" s="2495"/>
      <c r="L69" s="2362"/>
      <c r="M69" s="2372"/>
      <c r="N69" s="2372"/>
      <c r="O69" s="2372"/>
      <c r="P69" s="2372"/>
      <c r="Q69" s="2383"/>
      <c r="R69" s="2381"/>
      <c r="S69" s="2382"/>
      <c r="T69" s="2381"/>
      <c r="U69" s="2382"/>
      <c r="V69" s="2362"/>
      <c r="W69" s="2362"/>
    </row>
    <row r="70" spans="1:23" ht="15.75" customHeight="1" x14ac:dyDescent="0.35">
      <c r="A70" s="2492"/>
      <c r="B70" s="2493"/>
      <c r="C70" s="2494"/>
      <c r="D70" s="997" t="s">
        <v>688</v>
      </c>
      <c r="E70" s="997"/>
      <c r="F70" s="997"/>
      <c r="G70" s="997"/>
      <c r="H70" s="997"/>
      <c r="I70" s="997"/>
      <c r="J70" s="998"/>
      <c r="K70" s="2495"/>
      <c r="L70" s="2362"/>
      <c r="M70" s="2372"/>
      <c r="N70" s="2372"/>
      <c r="O70" s="2372"/>
      <c r="P70" s="2372"/>
      <c r="Q70" s="2383"/>
      <c r="R70" s="2381"/>
      <c r="S70" s="2382"/>
      <c r="T70" s="2381"/>
      <c r="U70" s="2382"/>
      <c r="V70" s="2362"/>
      <c r="W70" s="2362"/>
    </row>
    <row r="71" spans="1:23" ht="15.75" customHeight="1" thickBot="1" x14ac:dyDescent="0.4">
      <c r="A71" s="2469"/>
      <c r="B71" s="2470"/>
      <c r="C71" s="2354"/>
      <c r="D71" s="986"/>
      <c r="E71" s="986"/>
      <c r="F71" s="986"/>
      <c r="G71" s="986"/>
      <c r="H71" s="986"/>
      <c r="I71" s="986"/>
      <c r="J71" s="987"/>
      <c r="K71" s="2464"/>
      <c r="L71" s="2363"/>
      <c r="M71" s="2372"/>
      <c r="N71" s="2372"/>
      <c r="O71" s="2372"/>
      <c r="P71" s="2372"/>
      <c r="Q71" s="2383"/>
      <c r="R71" s="2389"/>
      <c r="S71" s="2390"/>
      <c r="T71" s="2389"/>
      <c r="U71" s="2390"/>
      <c r="V71" s="2363"/>
      <c r="W71" s="2363"/>
    </row>
    <row r="72" spans="1:23" ht="15" customHeight="1" x14ac:dyDescent="0.35">
      <c r="A72" s="2467" t="s">
        <v>689</v>
      </c>
      <c r="B72" s="2468"/>
      <c r="C72" s="2353"/>
      <c r="D72" s="982" t="s">
        <v>690</v>
      </c>
      <c r="E72" s="983"/>
      <c r="F72" s="983"/>
      <c r="G72" s="983"/>
      <c r="H72" s="983"/>
      <c r="I72" s="983"/>
      <c r="J72" s="984"/>
      <c r="K72" s="2463">
        <v>935</v>
      </c>
      <c r="L72" s="2361"/>
      <c r="M72" s="2524">
        <v>225.108</v>
      </c>
      <c r="N72" s="2527">
        <f>24.9+0.118</f>
        <v>25.017999999999997</v>
      </c>
      <c r="O72" s="2527">
        <v>25.018000000000001</v>
      </c>
      <c r="P72" s="2370">
        <f>M72+N72+O72</f>
        <v>275.14400000000001</v>
      </c>
      <c r="Q72" s="2527">
        <v>420.83800000000002</v>
      </c>
      <c r="R72" s="2391">
        <v>898</v>
      </c>
      <c r="S72" s="2392"/>
      <c r="T72" s="2391">
        <v>935</v>
      </c>
      <c r="U72" s="2392"/>
      <c r="V72" s="2361">
        <v>991.1</v>
      </c>
      <c r="W72" s="2361">
        <v>1050.5999999999999</v>
      </c>
    </row>
    <row r="73" spans="1:23" ht="13.15" customHeight="1" x14ac:dyDescent="0.35">
      <c r="A73" s="2492"/>
      <c r="B73" s="2493"/>
      <c r="C73" s="2494"/>
      <c r="D73" s="996" t="s">
        <v>691</v>
      </c>
      <c r="E73" s="997"/>
      <c r="F73" s="997"/>
      <c r="G73" s="997"/>
      <c r="H73" s="997"/>
      <c r="I73" s="997"/>
      <c r="J73" s="998"/>
      <c r="K73" s="2495"/>
      <c r="L73" s="2362"/>
      <c r="M73" s="2525"/>
      <c r="N73" s="2528"/>
      <c r="O73" s="2528"/>
      <c r="P73" s="2530"/>
      <c r="Q73" s="2528"/>
      <c r="R73" s="2393"/>
      <c r="S73" s="2394"/>
      <c r="T73" s="2393"/>
      <c r="U73" s="2394"/>
      <c r="V73" s="2362"/>
      <c r="W73" s="2362"/>
    </row>
    <row r="74" spans="1:23" ht="13.15" customHeight="1" x14ac:dyDescent="0.35">
      <c r="A74" s="2492"/>
      <c r="B74" s="2493"/>
      <c r="C74" s="2494"/>
      <c r="D74" s="996" t="s">
        <v>692</v>
      </c>
      <c r="E74" s="997"/>
      <c r="F74" s="997"/>
      <c r="G74" s="997"/>
      <c r="H74" s="997"/>
      <c r="I74" s="997"/>
      <c r="J74" s="998"/>
      <c r="K74" s="2495"/>
      <c r="L74" s="2362"/>
      <c r="M74" s="2525"/>
      <c r="N74" s="2528"/>
      <c r="O74" s="2528"/>
      <c r="P74" s="2530"/>
      <c r="Q74" s="2528"/>
      <c r="R74" s="2393"/>
      <c r="S74" s="2394"/>
      <c r="T74" s="2393"/>
      <c r="U74" s="2394"/>
      <c r="V74" s="2362"/>
      <c r="W74" s="2362"/>
    </row>
    <row r="75" spans="1:23" ht="12.75" customHeight="1" thickBot="1" x14ac:dyDescent="0.4">
      <c r="A75" s="2469"/>
      <c r="B75" s="2470"/>
      <c r="C75" s="2354"/>
      <c r="D75" s="985" t="s">
        <v>693</v>
      </c>
      <c r="E75" s="986"/>
      <c r="F75" s="986"/>
      <c r="G75" s="986"/>
      <c r="H75" s="986"/>
      <c r="I75" s="986"/>
      <c r="J75" s="987"/>
      <c r="K75" s="2464"/>
      <c r="L75" s="2363"/>
      <c r="M75" s="2526"/>
      <c r="N75" s="2529"/>
      <c r="O75" s="2529"/>
      <c r="P75" s="2371"/>
      <c r="Q75" s="2529"/>
      <c r="R75" s="2395"/>
      <c r="S75" s="2396"/>
      <c r="T75" s="2395"/>
      <c r="U75" s="2396"/>
      <c r="V75" s="2363"/>
      <c r="W75" s="2363"/>
    </row>
    <row r="76" spans="1:23" ht="15" x14ac:dyDescent="0.3">
      <c r="A76" s="2479" t="s">
        <v>694</v>
      </c>
      <c r="B76" s="2480"/>
      <c r="C76" s="2481"/>
      <c r="D76" s="976" t="s">
        <v>887</v>
      </c>
      <c r="E76" s="977"/>
      <c r="F76" s="977"/>
      <c r="G76" s="977"/>
      <c r="H76" s="977"/>
      <c r="I76" s="977"/>
      <c r="J76" s="978"/>
      <c r="K76" s="2449">
        <f>K78+K81</f>
        <v>25</v>
      </c>
      <c r="L76" s="2350"/>
      <c r="M76" s="2372">
        <v>97</v>
      </c>
      <c r="N76" s="2372"/>
      <c r="O76" s="2372"/>
      <c r="P76" s="2372">
        <f>P78+P81</f>
        <v>125</v>
      </c>
      <c r="Q76" s="2383">
        <v>435.29176000000001</v>
      </c>
      <c r="R76" s="2385">
        <f>R78+R81</f>
        <v>10.6</v>
      </c>
      <c r="S76" s="2386"/>
      <c r="T76" s="2385">
        <f>T78+T81</f>
        <v>11.1</v>
      </c>
      <c r="U76" s="2386"/>
      <c r="V76" s="2350">
        <f>V81</f>
        <v>26.5</v>
      </c>
      <c r="W76" s="2350">
        <f>W81</f>
        <v>28.1</v>
      </c>
    </row>
    <row r="77" spans="1:23" thickBot="1" x14ac:dyDescent="0.35">
      <c r="A77" s="2482"/>
      <c r="B77" s="2483"/>
      <c r="C77" s="2484"/>
      <c r="D77" s="979" t="s">
        <v>695</v>
      </c>
      <c r="E77" s="980"/>
      <c r="F77" s="980"/>
      <c r="G77" s="980"/>
      <c r="H77" s="980"/>
      <c r="I77" s="980"/>
      <c r="J77" s="981"/>
      <c r="K77" s="2451"/>
      <c r="L77" s="2351"/>
      <c r="M77" s="2372"/>
      <c r="N77" s="2372"/>
      <c r="O77" s="2372"/>
      <c r="P77" s="2372"/>
      <c r="Q77" s="2383"/>
      <c r="R77" s="2387"/>
      <c r="S77" s="2388"/>
      <c r="T77" s="2387"/>
      <c r="U77" s="2388"/>
      <c r="V77" s="2351"/>
      <c r="W77" s="2351"/>
    </row>
    <row r="78" spans="1:23" ht="15" hidden="1" customHeight="1" x14ac:dyDescent="0.35">
      <c r="A78" s="2467" t="s">
        <v>696</v>
      </c>
      <c r="B78" s="2468"/>
      <c r="C78" s="2353"/>
      <c r="D78" s="982" t="s">
        <v>697</v>
      </c>
      <c r="E78" s="983"/>
      <c r="F78" s="983"/>
      <c r="G78" s="983"/>
      <c r="H78" s="983"/>
      <c r="I78" s="983"/>
      <c r="J78" s="984"/>
      <c r="K78" s="2463"/>
      <c r="L78" s="2364"/>
      <c r="M78" s="2372">
        <v>69</v>
      </c>
      <c r="N78" s="2372">
        <v>7</v>
      </c>
      <c r="O78" s="2372">
        <v>7</v>
      </c>
      <c r="P78" s="2372">
        <f>M78+N78+O78</f>
        <v>83</v>
      </c>
      <c r="Q78" s="2372">
        <v>0.5</v>
      </c>
      <c r="R78" s="2379"/>
      <c r="S78" s="2519"/>
      <c r="T78" s="2379"/>
      <c r="U78" s="2519"/>
      <c r="V78" s="2364"/>
      <c r="W78" s="2364"/>
    </row>
    <row r="79" spans="1:23" ht="15" hidden="1" customHeight="1" x14ac:dyDescent="0.35">
      <c r="A79" s="2492"/>
      <c r="B79" s="2493"/>
      <c r="C79" s="2494"/>
      <c r="D79" s="996" t="s">
        <v>698</v>
      </c>
      <c r="E79" s="997"/>
      <c r="F79" s="997"/>
      <c r="G79" s="997"/>
      <c r="H79" s="997"/>
      <c r="I79" s="997"/>
      <c r="J79" s="998"/>
      <c r="K79" s="2517"/>
      <c r="L79" s="2365"/>
      <c r="M79" s="2372"/>
      <c r="N79" s="2372"/>
      <c r="O79" s="2372"/>
      <c r="P79" s="2372"/>
      <c r="Q79" s="2372"/>
      <c r="R79" s="2520"/>
      <c r="S79" s="2521"/>
      <c r="T79" s="2520"/>
      <c r="U79" s="2521"/>
      <c r="V79" s="2365"/>
      <c r="W79" s="2365"/>
    </row>
    <row r="80" spans="1:23" ht="7.15" hidden="1" customHeight="1" x14ac:dyDescent="0.35">
      <c r="A80" s="2514"/>
      <c r="B80" s="2515"/>
      <c r="C80" s="2516"/>
      <c r="D80" s="1003"/>
      <c r="E80" s="1004"/>
      <c r="F80" s="1004"/>
      <c r="G80" s="1004"/>
      <c r="H80" s="1004"/>
      <c r="I80" s="1004"/>
      <c r="J80" s="1005"/>
      <c r="K80" s="2518"/>
      <c r="L80" s="2366"/>
      <c r="M80" s="2372"/>
      <c r="N80" s="2372"/>
      <c r="O80" s="2372"/>
      <c r="P80" s="2372"/>
      <c r="Q80" s="2372"/>
      <c r="R80" s="2522"/>
      <c r="S80" s="2523"/>
      <c r="T80" s="2522"/>
      <c r="U80" s="2523"/>
      <c r="V80" s="2366"/>
      <c r="W80" s="2366"/>
    </row>
    <row r="81" spans="1:23" ht="16" thickBot="1" x14ac:dyDescent="0.4">
      <c r="A81" s="2507" t="s">
        <v>699</v>
      </c>
      <c r="B81" s="2508"/>
      <c r="C81" s="2509"/>
      <c r="D81" s="996" t="s">
        <v>700</v>
      </c>
      <c r="E81" s="997"/>
      <c r="F81" s="997"/>
      <c r="G81" s="997"/>
      <c r="H81" s="997"/>
      <c r="I81" s="997"/>
      <c r="J81" s="998"/>
      <c r="K81" s="2510">
        <v>25</v>
      </c>
      <c r="L81" s="2511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2512">
        <v>10.6</v>
      </c>
      <c r="S81" s="2513"/>
      <c r="T81" s="2512">
        <v>11.1</v>
      </c>
      <c r="U81" s="2513"/>
      <c r="V81" s="1543">
        <v>26.5</v>
      </c>
      <c r="W81" s="1543">
        <v>28.1</v>
      </c>
    </row>
    <row r="82" spans="1:23" ht="15" x14ac:dyDescent="0.3">
      <c r="A82" s="2479" t="s">
        <v>701</v>
      </c>
      <c r="B82" s="2480"/>
      <c r="C82" s="2481"/>
      <c r="D82" s="976" t="s">
        <v>702</v>
      </c>
      <c r="E82" s="977"/>
      <c r="F82" s="977"/>
      <c r="G82" s="977"/>
      <c r="H82" s="977"/>
      <c r="I82" s="977"/>
      <c r="J82" s="978"/>
      <c r="K82" s="2449">
        <f>K85+K90+K84</f>
        <v>754.5</v>
      </c>
      <c r="L82" s="2350"/>
      <c r="M82" s="2372">
        <v>530</v>
      </c>
      <c r="N82" s="2372"/>
      <c r="O82" s="2372"/>
      <c r="P82" s="2372">
        <f>P84+P85+P90</f>
        <v>590</v>
      </c>
      <c r="Q82" s="2383">
        <v>375.10428000000002</v>
      </c>
      <c r="R82" s="2385">
        <f>R85+R90+R84</f>
        <v>1540</v>
      </c>
      <c r="S82" s="2386"/>
      <c r="T82" s="2385">
        <f>T85+T90+T84</f>
        <v>755</v>
      </c>
      <c r="U82" s="2386"/>
      <c r="V82" s="2350">
        <f>V85</f>
        <v>0</v>
      </c>
      <c r="W82" s="2350">
        <f>W85</f>
        <v>0</v>
      </c>
    </row>
    <row r="83" spans="1:23" thickBot="1" x14ac:dyDescent="0.35">
      <c r="A83" s="2482"/>
      <c r="B83" s="2483"/>
      <c r="C83" s="2484"/>
      <c r="D83" s="979" t="s">
        <v>703</v>
      </c>
      <c r="E83" s="980"/>
      <c r="F83" s="980"/>
      <c r="G83" s="980"/>
      <c r="H83" s="980"/>
      <c r="I83" s="980"/>
      <c r="J83" s="981"/>
      <c r="K83" s="2451"/>
      <c r="L83" s="2351"/>
      <c r="M83" s="2370"/>
      <c r="N83" s="2370"/>
      <c r="O83" s="2370"/>
      <c r="P83" s="2370"/>
      <c r="Q83" s="2384"/>
      <c r="R83" s="2387"/>
      <c r="S83" s="2388"/>
      <c r="T83" s="2387"/>
      <c r="U83" s="2388"/>
      <c r="V83" s="2351"/>
      <c r="W83" s="2351"/>
    </row>
    <row r="84" spans="1:23" ht="15.65" hidden="1" customHeight="1" x14ac:dyDescent="0.35">
      <c r="A84" s="2500" t="s">
        <v>704</v>
      </c>
      <c r="B84" s="2501"/>
      <c r="C84" s="2502"/>
      <c r="D84" s="1006" t="s">
        <v>705</v>
      </c>
      <c r="E84" s="1007"/>
      <c r="F84" s="1007"/>
      <c r="G84" s="1007"/>
      <c r="H84" s="1007"/>
      <c r="I84" s="1007"/>
      <c r="J84" s="1008"/>
      <c r="K84" s="2503"/>
      <c r="L84" s="2504"/>
      <c r="M84" s="883"/>
      <c r="N84" s="884"/>
      <c r="O84" s="884"/>
      <c r="P84" s="884"/>
      <c r="Q84" s="885">
        <v>62.085000000000001</v>
      </c>
      <c r="R84" s="2505"/>
      <c r="S84" s="2506"/>
      <c r="T84" s="2505"/>
      <c r="U84" s="2506"/>
      <c r="V84" s="1041"/>
      <c r="W84" s="1041"/>
    </row>
    <row r="85" spans="1:23" x14ac:dyDescent="0.35">
      <c r="A85" s="2496" t="s">
        <v>706</v>
      </c>
      <c r="B85" s="2497"/>
      <c r="C85" s="2498"/>
      <c r="D85" s="996" t="s">
        <v>707</v>
      </c>
      <c r="E85" s="997"/>
      <c r="F85" s="997"/>
      <c r="G85" s="997"/>
      <c r="H85" s="997"/>
      <c r="I85" s="997"/>
      <c r="J85" s="998"/>
      <c r="K85" s="2499">
        <v>754.5</v>
      </c>
      <c r="L85" s="2367"/>
      <c r="M85" s="2371">
        <v>190</v>
      </c>
      <c r="N85" s="2371">
        <v>30</v>
      </c>
      <c r="O85" s="2371">
        <v>30</v>
      </c>
      <c r="P85" s="2371">
        <f>M85+N85+O85</f>
        <v>250</v>
      </c>
      <c r="Q85" s="2491">
        <v>243.4375</v>
      </c>
      <c r="R85" s="2381">
        <v>1540</v>
      </c>
      <c r="S85" s="2382"/>
      <c r="T85" s="2381">
        <v>755</v>
      </c>
      <c r="U85" s="2382"/>
      <c r="V85" s="2367">
        <v>0</v>
      </c>
      <c r="W85" s="2367">
        <v>0</v>
      </c>
    </row>
    <row r="86" spans="1:23" x14ac:dyDescent="0.35">
      <c r="A86" s="2492"/>
      <c r="B86" s="2493"/>
      <c r="C86" s="2494"/>
      <c r="D86" s="996" t="s">
        <v>708</v>
      </c>
      <c r="E86" s="997"/>
      <c r="F86" s="997"/>
      <c r="G86" s="997"/>
      <c r="H86" s="997"/>
      <c r="I86" s="997"/>
      <c r="J86" s="998"/>
      <c r="K86" s="2495"/>
      <c r="L86" s="2362"/>
      <c r="M86" s="2372"/>
      <c r="N86" s="2372"/>
      <c r="O86" s="2372"/>
      <c r="P86" s="2372"/>
      <c r="Q86" s="2383"/>
      <c r="R86" s="2381"/>
      <c r="S86" s="2382"/>
      <c r="T86" s="2381"/>
      <c r="U86" s="2382"/>
      <c r="V86" s="2362"/>
      <c r="W86" s="2362"/>
    </row>
    <row r="87" spans="1:23" x14ac:dyDescent="0.35">
      <c r="A87" s="2492"/>
      <c r="B87" s="2493"/>
      <c r="C87" s="2494"/>
      <c r="D87" s="996" t="s">
        <v>709</v>
      </c>
      <c r="E87" s="997"/>
      <c r="F87" s="997"/>
      <c r="G87" s="997"/>
      <c r="H87" s="997"/>
      <c r="I87" s="997"/>
      <c r="J87" s="998"/>
      <c r="K87" s="2495"/>
      <c r="L87" s="2362"/>
      <c r="M87" s="2372"/>
      <c r="N87" s="2372"/>
      <c r="O87" s="2372"/>
      <c r="P87" s="2372"/>
      <c r="Q87" s="2383"/>
      <c r="R87" s="2381"/>
      <c r="S87" s="2382"/>
      <c r="T87" s="2381"/>
      <c r="U87" s="2382"/>
      <c r="V87" s="2362"/>
      <c r="W87" s="2362"/>
    </row>
    <row r="88" spans="1:23" x14ac:dyDescent="0.35">
      <c r="A88" s="2492"/>
      <c r="B88" s="2493"/>
      <c r="C88" s="2494"/>
      <c r="D88" s="996" t="s">
        <v>710</v>
      </c>
      <c r="E88" s="997"/>
      <c r="F88" s="997"/>
      <c r="G88" s="997"/>
      <c r="H88" s="997"/>
      <c r="I88" s="997"/>
      <c r="J88" s="998"/>
      <c r="K88" s="2495"/>
      <c r="L88" s="2362"/>
      <c r="M88" s="2372"/>
      <c r="N88" s="2372"/>
      <c r="O88" s="2372"/>
      <c r="P88" s="2372"/>
      <c r="Q88" s="2383"/>
      <c r="R88" s="2381"/>
      <c r="S88" s="2382"/>
      <c r="T88" s="2381"/>
      <c r="U88" s="2382"/>
      <c r="V88" s="2362"/>
      <c r="W88" s="2362"/>
    </row>
    <row r="89" spans="1:23" ht="16" thickBot="1" x14ac:dyDescent="0.4">
      <c r="A89" s="2469"/>
      <c r="B89" s="2470"/>
      <c r="C89" s="2354"/>
      <c r="D89" s="985" t="s">
        <v>711</v>
      </c>
      <c r="E89" s="986"/>
      <c r="F89" s="986"/>
      <c r="G89" s="986"/>
      <c r="H89" s="986"/>
      <c r="I89" s="986"/>
      <c r="J89" s="987"/>
      <c r="K89" s="2464"/>
      <c r="L89" s="2363"/>
      <c r="M89" s="2372"/>
      <c r="N89" s="2372"/>
      <c r="O89" s="2372"/>
      <c r="P89" s="2372"/>
      <c r="Q89" s="2383"/>
      <c r="R89" s="2389"/>
      <c r="S89" s="2390"/>
      <c r="T89" s="2389"/>
      <c r="U89" s="2390"/>
      <c r="V89" s="2363"/>
      <c r="W89" s="2363"/>
    </row>
    <row r="90" spans="1:23" ht="15.65" hidden="1" customHeight="1" thickBot="1" x14ac:dyDescent="0.4">
      <c r="A90" s="2467" t="s">
        <v>712</v>
      </c>
      <c r="B90" s="2468"/>
      <c r="C90" s="2353"/>
      <c r="D90" s="996" t="s">
        <v>713</v>
      </c>
      <c r="E90" s="997"/>
      <c r="F90" s="997"/>
      <c r="G90" s="997"/>
      <c r="H90" s="997"/>
      <c r="I90" s="997"/>
      <c r="J90" s="998"/>
      <c r="K90" s="2463"/>
      <c r="L90" s="2361"/>
      <c r="M90" s="2372">
        <v>340</v>
      </c>
      <c r="N90" s="2372"/>
      <c r="O90" s="2372"/>
      <c r="P90" s="2372">
        <f>M90+N90+O90</f>
        <v>340</v>
      </c>
      <c r="Q90" s="2383">
        <v>69.581779999999995</v>
      </c>
      <c r="R90" s="2379"/>
      <c r="S90" s="2380"/>
      <c r="T90" s="2379"/>
      <c r="U90" s="2380"/>
      <c r="V90" s="2361"/>
      <c r="W90" s="2361"/>
    </row>
    <row r="91" spans="1:23" ht="15.65" hidden="1" customHeight="1" thickBot="1" x14ac:dyDescent="0.4">
      <c r="A91" s="2492"/>
      <c r="B91" s="2493"/>
      <c r="C91" s="2494"/>
      <c r="D91" s="996" t="s">
        <v>714</v>
      </c>
      <c r="E91" s="997"/>
      <c r="F91" s="997"/>
      <c r="G91" s="997"/>
      <c r="H91" s="997"/>
      <c r="I91" s="997"/>
      <c r="J91" s="998"/>
      <c r="K91" s="2495"/>
      <c r="L91" s="2362"/>
      <c r="M91" s="2372"/>
      <c r="N91" s="2372"/>
      <c r="O91" s="2372"/>
      <c r="P91" s="2372"/>
      <c r="Q91" s="2383"/>
      <c r="R91" s="2381"/>
      <c r="S91" s="2382"/>
      <c r="T91" s="2381"/>
      <c r="U91" s="2382"/>
      <c r="V91" s="2362"/>
      <c r="W91" s="2362"/>
    </row>
    <row r="92" spans="1:23" ht="15.65" hidden="1" customHeight="1" thickBot="1" x14ac:dyDescent="0.4">
      <c r="A92" s="2492"/>
      <c r="B92" s="2493"/>
      <c r="C92" s="2494"/>
      <c r="D92" s="996" t="s">
        <v>715</v>
      </c>
      <c r="E92" s="997"/>
      <c r="F92" s="997"/>
      <c r="G92" s="997"/>
      <c r="H92" s="997"/>
      <c r="I92" s="997"/>
      <c r="J92" s="998"/>
      <c r="K92" s="2495"/>
      <c r="L92" s="2362"/>
      <c r="M92" s="2372"/>
      <c r="N92" s="2372"/>
      <c r="O92" s="2372"/>
      <c r="P92" s="2372"/>
      <c r="Q92" s="2383"/>
      <c r="R92" s="2381"/>
      <c r="S92" s="2382"/>
      <c r="T92" s="2381"/>
      <c r="U92" s="2382"/>
      <c r="V92" s="2362"/>
      <c r="W92" s="2362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464"/>
      <c r="L93" s="2363"/>
      <c r="M93" s="880"/>
      <c r="N93" s="880"/>
      <c r="O93" s="880"/>
      <c r="P93" s="880"/>
      <c r="Q93" s="886"/>
      <c r="R93" s="2381"/>
      <c r="S93" s="2382"/>
      <c r="T93" s="2381"/>
      <c r="U93" s="2382"/>
      <c r="V93" s="2363"/>
      <c r="W93" s="2363"/>
    </row>
    <row r="94" spans="1:23" ht="15.75" customHeight="1" x14ac:dyDescent="0.35">
      <c r="A94" s="2479" t="s">
        <v>716</v>
      </c>
      <c r="B94" s="2480"/>
      <c r="C94" s="2481"/>
      <c r="D94" s="2485" t="s">
        <v>717</v>
      </c>
      <c r="E94" s="2486"/>
      <c r="F94" s="2486"/>
      <c r="G94" s="2486"/>
      <c r="H94" s="2486"/>
      <c r="I94" s="2486"/>
      <c r="J94" s="2487"/>
      <c r="K94" s="2449">
        <f>K96</f>
        <v>20</v>
      </c>
      <c r="L94" s="2350"/>
      <c r="M94" s="880"/>
      <c r="N94" s="880"/>
      <c r="O94" s="880"/>
      <c r="P94" s="880"/>
      <c r="Q94" s="886"/>
      <c r="R94" s="2385">
        <f>R96</f>
        <v>10</v>
      </c>
      <c r="S94" s="2386"/>
      <c r="T94" s="2385">
        <f>T96</f>
        <v>11</v>
      </c>
      <c r="U94" s="2386"/>
      <c r="V94" s="2350">
        <f>V96</f>
        <v>20</v>
      </c>
      <c r="W94" s="2350">
        <f>W96</f>
        <v>20</v>
      </c>
    </row>
    <row r="95" spans="1:23" ht="15.75" customHeight="1" thickBot="1" x14ac:dyDescent="0.4">
      <c r="A95" s="2482"/>
      <c r="B95" s="2483"/>
      <c r="C95" s="2484"/>
      <c r="D95" s="2488"/>
      <c r="E95" s="2489"/>
      <c r="F95" s="2489"/>
      <c r="G95" s="2489"/>
      <c r="H95" s="2489"/>
      <c r="I95" s="2489"/>
      <c r="J95" s="2490"/>
      <c r="K95" s="2451"/>
      <c r="L95" s="2351"/>
      <c r="M95" s="880"/>
      <c r="N95" s="880"/>
      <c r="O95" s="880"/>
      <c r="P95" s="880"/>
      <c r="Q95" s="886"/>
      <c r="R95" s="2477"/>
      <c r="S95" s="2478"/>
      <c r="T95" s="2477"/>
      <c r="U95" s="2478"/>
      <c r="V95" s="2351"/>
      <c r="W95" s="2351"/>
    </row>
    <row r="96" spans="1:23" ht="15.75" customHeight="1" x14ac:dyDescent="0.35">
      <c r="A96" s="2467" t="s">
        <v>718</v>
      </c>
      <c r="B96" s="2468"/>
      <c r="C96" s="2353"/>
      <c r="D96" s="2471" t="s">
        <v>719</v>
      </c>
      <c r="E96" s="2472"/>
      <c r="F96" s="2472"/>
      <c r="G96" s="2472"/>
      <c r="H96" s="2472"/>
      <c r="I96" s="2472"/>
      <c r="J96" s="2473"/>
      <c r="K96" s="2463">
        <v>20</v>
      </c>
      <c r="L96" s="2361"/>
      <c r="M96" s="880"/>
      <c r="N96" s="880"/>
      <c r="O96" s="880"/>
      <c r="P96" s="880"/>
      <c r="Q96" s="886"/>
      <c r="R96" s="2379">
        <v>10</v>
      </c>
      <c r="S96" s="2380"/>
      <c r="T96" s="2379">
        <v>11</v>
      </c>
      <c r="U96" s="2380"/>
      <c r="V96" s="2361">
        <v>20</v>
      </c>
      <c r="W96" s="2361">
        <v>20</v>
      </c>
    </row>
    <row r="97" spans="1:26" ht="27" customHeight="1" thickBot="1" x14ac:dyDescent="0.4">
      <c r="A97" s="2469"/>
      <c r="B97" s="2470"/>
      <c r="C97" s="2354"/>
      <c r="D97" s="2474"/>
      <c r="E97" s="2475"/>
      <c r="F97" s="2475"/>
      <c r="G97" s="2475"/>
      <c r="H97" s="2475"/>
      <c r="I97" s="2475"/>
      <c r="J97" s="2476"/>
      <c r="K97" s="2464"/>
      <c r="L97" s="2363"/>
      <c r="M97" s="880"/>
      <c r="N97" s="880"/>
      <c r="O97" s="880"/>
      <c r="P97" s="880"/>
      <c r="Q97" s="886"/>
      <c r="R97" s="2465"/>
      <c r="S97" s="2466"/>
      <c r="T97" s="2465"/>
      <c r="U97" s="2466"/>
      <c r="V97" s="2363"/>
      <c r="W97" s="2363"/>
    </row>
    <row r="98" spans="1:26" ht="15" x14ac:dyDescent="0.3">
      <c r="A98" s="2407" t="s">
        <v>720</v>
      </c>
      <c r="B98" s="2408"/>
      <c r="C98" s="2409"/>
      <c r="D98" s="976"/>
      <c r="E98" s="977"/>
      <c r="F98" s="977"/>
      <c r="G98" s="977"/>
      <c r="H98" s="977"/>
      <c r="I98" s="977"/>
      <c r="J98" s="978"/>
      <c r="K98" s="2449">
        <f>K100</f>
        <v>25</v>
      </c>
      <c r="L98" s="2350"/>
      <c r="M98" s="2372">
        <v>90</v>
      </c>
      <c r="N98" s="2372"/>
      <c r="O98" s="2372"/>
      <c r="P98" s="2372">
        <f>P100</f>
        <v>150</v>
      </c>
      <c r="Q98" s="2383">
        <v>129.83756</v>
      </c>
      <c r="R98" s="2385">
        <f>R100</f>
        <v>21</v>
      </c>
      <c r="S98" s="2386"/>
      <c r="T98" s="2385">
        <f>T100</f>
        <v>22</v>
      </c>
      <c r="U98" s="2386"/>
      <c r="V98" s="2350">
        <f>V100</f>
        <v>26.5</v>
      </c>
      <c r="W98" s="2350">
        <f>W100</f>
        <v>28.1</v>
      </c>
    </row>
    <row r="99" spans="1:26" thickBot="1" x14ac:dyDescent="0.35">
      <c r="A99" s="2410"/>
      <c r="B99" s="2411"/>
      <c r="C99" s="2412"/>
      <c r="D99" s="1009" t="s">
        <v>721</v>
      </c>
      <c r="E99" s="1010"/>
      <c r="F99" s="1010"/>
      <c r="G99" s="1010"/>
      <c r="H99" s="1010"/>
      <c r="I99" s="1010"/>
      <c r="J99" s="1011"/>
      <c r="K99" s="2451"/>
      <c r="L99" s="2351"/>
      <c r="M99" s="2372"/>
      <c r="N99" s="2372"/>
      <c r="O99" s="2372"/>
      <c r="P99" s="2372"/>
      <c r="Q99" s="2383"/>
      <c r="R99" s="2477"/>
      <c r="S99" s="2478"/>
      <c r="T99" s="2477"/>
      <c r="U99" s="2478"/>
      <c r="V99" s="2351"/>
      <c r="W99" s="2351"/>
    </row>
    <row r="100" spans="1:26" ht="15" customHeight="1" x14ac:dyDescent="0.3">
      <c r="A100" s="2457" t="s">
        <v>722</v>
      </c>
      <c r="B100" s="2458"/>
      <c r="C100" s="2459"/>
      <c r="D100" s="976"/>
      <c r="E100" s="977"/>
      <c r="F100" s="977"/>
      <c r="G100" s="977"/>
      <c r="H100" s="977"/>
      <c r="I100" s="977"/>
      <c r="J100" s="978"/>
      <c r="K100" s="2463">
        <v>25</v>
      </c>
      <c r="L100" s="2361"/>
      <c r="M100" s="2372">
        <v>90</v>
      </c>
      <c r="N100" s="2372">
        <v>30</v>
      </c>
      <c r="O100" s="2372">
        <v>30</v>
      </c>
      <c r="P100" s="2372">
        <f>M100+N100+O100</f>
        <v>150</v>
      </c>
      <c r="Q100" s="2383">
        <v>117.42055999999999</v>
      </c>
      <c r="R100" s="2379">
        <v>21</v>
      </c>
      <c r="S100" s="2380"/>
      <c r="T100" s="2379">
        <v>22</v>
      </c>
      <c r="U100" s="2380"/>
      <c r="V100" s="2361">
        <v>26.5</v>
      </c>
      <c r="W100" s="2361">
        <v>28.1</v>
      </c>
    </row>
    <row r="101" spans="1:26" ht="16" thickBot="1" x14ac:dyDescent="0.4">
      <c r="A101" s="2460"/>
      <c r="B101" s="2461"/>
      <c r="C101" s="2462"/>
      <c r="D101" s="1003" t="s">
        <v>723</v>
      </c>
      <c r="E101" s="1010"/>
      <c r="F101" s="1010"/>
      <c r="G101" s="1010"/>
      <c r="H101" s="1010"/>
      <c r="I101" s="1010"/>
      <c r="J101" s="1011"/>
      <c r="K101" s="2464"/>
      <c r="L101" s="2363"/>
      <c r="M101" s="2372"/>
      <c r="N101" s="2372"/>
      <c r="O101" s="2372"/>
      <c r="P101" s="2372"/>
      <c r="Q101" s="2383"/>
      <c r="R101" s="2465"/>
      <c r="S101" s="2466"/>
      <c r="T101" s="2465"/>
      <c r="U101" s="2466"/>
      <c r="V101" s="2363"/>
      <c r="W101" s="2363"/>
    </row>
    <row r="102" spans="1:26" ht="15" x14ac:dyDescent="0.3">
      <c r="A102" s="2407" t="s">
        <v>724</v>
      </c>
      <c r="B102" s="2408"/>
      <c r="C102" s="2409"/>
      <c r="D102" s="976"/>
      <c r="E102" s="977"/>
      <c r="F102" s="977"/>
      <c r="G102" s="977"/>
      <c r="H102" s="977"/>
      <c r="I102" s="977"/>
      <c r="J102" s="978"/>
      <c r="K102" s="2449">
        <f>K105+K107+K108+K111+K112+K115</f>
        <v>19035.8</v>
      </c>
      <c r="L102" s="2350"/>
      <c r="M102" s="2372">
        <v>8484.0619999999999</v>
      </c>
      <c r="N102" s="2372"/>
      <c r="O102" s="2372"/>
      <c r="P102" s="2372">
        <f>P105+P111+P112+P113+P115</f>
        <v>8524.0619999999999</v>
      </c>
      <c r="Q102" s="2383">
        <v>3580.9459499999998</v>
      </c>
      <c r="R102" s="2373">
        <f>R105+R111+R112+R113+R115+R106+S108+R114+R110+R109</f>
        <v>810.5</v>
      </c>
      <c r="S102" s="2374"/>
      <c r="T102" s="2373">
        <f>T105+T111+T112+T113+T115+T106+U108+T114+T110+T109</f>
        <v>818.5</v>
      </c>
      <c r="U102" s="2374"/>
      <c r="V102" s="2350">
        <f>V105+V107+V108+V111+V112+V115</f>
        <v>19076</v>
      </c>
      <c r="W102" s="2350">
        <f>W105+W107+W108+W111+W112+W115</f>
        <v>18639.400000000001</v>
      </c>
    </row>
    <row r="103" spans="1:26" ht="15" x14ac:dyDescent="0.3">
      <c r="A103" s="2446"/>
      <c r="B103" s="2447"/>
      <c r="C103" s="2448"/>
      <c r="D103" s="999" t="s">
        <v>725</v>
      </c>
      <c r="E103" s="1000"/>
      <c r="F103" s="1000"/>
      <c r="G103" s="1000"/>
      <c r="H103" s="1000"/>
      <c r="I103" s="1000"/>
      <c r="J103" s="1001"/>
      <c r="K103" s="2450"/>
      <c r="L103" s="2360"/>
      <c r="M103" s="2372"/>
      <c r="N103" s="2372"/>
      <c r="O103" s="2372"/>
      <c r="P103" s="2372"/>
      <c r="Q103" s="2383"/>
      <c r="R103" s="2442"/>
      <c r="S103" s="2443"/>
      <c r="T103" s="2442"/>
      <c r="U103" s="2443"/>
      <c r="V103" s="2360"/>
      <c r="W103" s="2360"/>
    </row>
    <row r="104" spans="1:26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451"/>
      <c r="L104" s="2351"/>
      <c r="M104" s="880"/>
      <c r="N104" s="880"/>
      <c r="O104" s="880"/>
      <c r="P104" s="880"/>
      <c r="Q104" s="886"/>
      <c r="R104" s="2375"/>
      <c r="S104" s="2376"/>
      <c r="T104" s="2375"/>
      <c r="U104" s="2376"/>
      <c r="V104" s="2351"/>
      <c r="W104" s="2351"/>
    </row>
    <row r="105" spans="1:26" ht="34.5" customHeight="1" thickBot="1" x14ac:dyDescent="0.4">
      <c r="A105" s="2397" t="s">
        <v>976</v>
      </c>
      <c r="B105" s="2398"/>
      <c r="C105" s="2399"/>
      <c r="D105" s="2417" t="s">
        <v>864</v>
      </c>
      <c r="E105" s="2418"/>
      <c r="F105" s="2418"/>
      <c r="G105" s="2418"/>
      <c r="H105" s="2418"/>
      <c r="I105" s="2418"/>
      <c r="J105" s="2419"/>
      <c r="K105" s="2403">
        <v>16236.3</v>
      </c>
      <c r="L105" s="2404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2444"/>
      <c r="S105" s="2445"/>
      <c r="T105" s="2444"/>
      <c r="U105" s="2445"/>
      <c r="V105" s="1037">
        <v>16223.5</v>
      </c>
      <c r="W105" s="1037">
        <v>16517.7</v>
      </c>
    </row>
    <row r="106" spans="1:26" ht="34.5" hidden="1" customHeight="1" thickBot="1" x14ac:dyDescent="0.4">
      <c r="A106" s="2397" t="s">
        <v>727</v>
      </c>
      <c r="B106" s="2398"/>
      <c r="C106" s="2399"/>
      <c r="D106" s="2417" t="s">
        <v>728</v>
      </c>
      <c r="E106" s="2418"/>
      <c r="F106" s="2418"/>
      <c r="G106" s="2418"/>
      <c r="H106" s="2418"/>
      <c r="I106" s="2418"/>
      <c r="J106" s="2419"/>
      <c r="K106" s="2452"/>
      <c r="L106" s="2453"/>
      <c r="M106" s="880"/>
      <c r="N106" s="880"/>
      <c r="O106" s="880"/>
      <c r="P106" s="880"/>
      <c r="Q106" s="886"/>
      <c r="R106" s="2377"/>
      <c r="S106" s="2378"/>
      <c r="T106" s="2377"/>
      <c r="U106" s="2378"/>
      <c r="V106" s="1040"/>
      <c r="W106" s="1040"/>
    </row>
    <row r="107" spans="1:26" ht="61.5" customHeight="1" thickBot="1" x14ac:dyDescent="0.4">
      <c r="A107" s="2454" t="s">
        <v>975</v>
      </c>
      <c r="B107" s="2455"/>
      <c r="C107" s="2456"/>
      <c r="D107" s="2417" t="s">
        <v>888</v>
      </c>
      <c r="E107" s="2438"/>
      <c r="F107" s="2438"/>
      <c r="G107" s="2438"/>
      <c r="H107" s="2438"/>
      <c r="I107" s="2438"/>
      <c r="J107" s="2439"/>
      <c r="K107" s="2368">
        <v>388.9</v>
      </c>
      <c r="L107" s="2369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5" customHeight="1" thickBot="1" x14ac:dyDescent="0.4">
      <c r="A108" s="2397" t="s">
        <v>974</v>
      </c>
      <c r="B108" s="2398"/>
      <c r="C108" s="2399"/>
      <c r="D108" s="2417" t="s">
        <v>890</v>
      </c>
      <c r="E108" s="2438"/>
      <c r="F108" s="2438"/>
      <c r="G108" s="2438"/>
      <c r="H108" s="2438"/>
      <c r="I108" s="2438"/>
      <c r="J108" s="2439"/>
      <c r="K108" s="2440">
        <v>976.8</v>
      </c>
      <c r="L108" s="2441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5" hidden="1" customHeight="1" thickBot="1" x14ac:dyDescent="0.4">
      <c r="A109" s="2397" t="s">
        <v>731</v>
      </c>
      <c r="B109" s="2398"/>
      <c r="C109" s="2399"/>
      <c r="D109" s="2432" t="s">
        <v>732</v>
      </c>
      <c r="E109" s="2433"/>
      <c r="F109" s="2433"/>
      <c r="G109" s="2433"/>
      <c r="H109" s="2433"/>
      <c r="I109" s="2433"/>
      <c r="J109" s="2434"/>
      <c r="K109" s="2420"/>
      <c r="L109" s="2421"/>
      <c r="M109" s="880"/>
      <c r="N109" s="880"/>
      <c r="O109" s="880"/>
      <c r="P109" s="880"/>
      <c r="Q109" s="886"/>
      <c r="R109" s="2422"/>
      <c r="S109" s="2423"/>
      <c r="T109" s="2422"/>
      <c r="U109" s="2423"/>
      <c r="V109" s="1038"/>
      <c r="W109" s="1700"/>
      <c r="X109" s="1702"/>
      <c r="Y109" s="1702"/>
      <c r="Z109" s="1702"/>
    </row>
    <row r="110" spans="1:26" ht="60.65" hidden="1" customHeight="1" thickBot="1" x14ac:dyDescent="0.4">
      <c r="A110" s="2397" t="s">
        <v>733</v>
      </c>
      <c r="B110" s="2398"/>
      <c r="C110" s="2399"/>
      <c r="D110" s="2435" t="s">
        <v>734</v>
      </c>
      <c r="E110" s="2436"/>
      <c r="F110" s="2436"/>
      <c r="G110" s="2436"/>
      <c r="H110" s="2436"/>
      <c r="I110" s="2436"/>
      <c r="J110" s="2437"/>
      <c r="K110" s="2420"/>
      <c r="L110" s="2421"/>
      <c r="M110" s="880"/>
      <c r="N110" s="880"/>
      <c r="O110" s="880"/>
      <c r="P110" s="880"/>
      <c r="Q110" s="886"/>
      <c r="R110" s="2422"/>
      <c r="S110" s="2423"/>
      <c r="T110" s="2422"/>
      <c r="U110" s="2423"/>
      <c r="V110" s="1038"/>
      <c r="W110" s="1700"/>
      <c r="X110" s="1702"/>
      <c r="Y110" s="1702"/>
      <c r="Z110" s="1702"/>
    </row>
    <row r="111" spans="1:26" ht="36.75" customHeight="1" thickBot="1" x14ac:dyDescent="0.4">
      <c r="A111" s="2397" t="s">
        <v>973</v>
      </c>
      <c r="B111" s="2398"/>
      <c r="C111" s="2399"/>
      <c r="D111" s="2417" t="s">
        <v>736</v>
      </c>
      <c r="E111" s="2418"/>
      <c r="F111" s="2418"/>
      <c r="G111" s="2418"/>
      <c r="H111" s="2418"/>
      <c r="I111" s="2418"/>
      <c r="J111" s="2419"/>
      <c r="K111" s="2428">
        <v>727.8</v>
      </c>
      <c r="L111" s="2429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2430"/>
      <c r="S111" s="2431"/>
      <c r="T111" s="2430"/>
      <c r="U111" s="2431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4">
      <c r="A112" s="2397" t="s">
        <v>972</v>
      </c>
      <c r="B112" s="2398"/>
      <c r="C112" s="2399"/>
      <c r="D112" s="2417" t="s">
        <v>889</v>
      </c>
      <c r="E112" s="2418"/>
      <c r="F112" s="2418"/>
      <c r="G112" s="2418"/>
      <c r="H112" s="2418"/>
      <c r="I112" s="2418"/>
      <c r="J112" s="2419"/>
      <c r="K112" s="2428">
        <v>656</v>
      </c>
      <c r="L112" s="2429"/>
      <c r="M112" s="1691">
        <v>10</v>
      </c>
      <c r="N112" s="1691"/>
      <c r="O112" s="1691"/>
      <c r="P112" s="1691">
        <v>10</v>
      </c>
      <c r="Q112" s="1692">
        <v>10</v>
      </c>
      <c r="R112" s="2430">
        <v>598.5</v>
      </c>
      <c r="S112" s="2431"/>
      <c r="T112" s="2430">
        <v>598.5</v>
      </c>
      <c r="U112" s="2431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4">
      <c r="A113" s="2397" t="s">
        <v>738</v>
      </c>
      <c r="B113" s="2398"/>
      <c r="C113" s="2399"/>
      <c r="D113" s="2417" t="s">
        <v>739</v>
      </c>
      <c r="E113" s="2418"/>
      <c r="F113" s="2418"/>
      <c r="G113" s="2418"/>
      <c r="H113" s="2418"/>
      <c r="I113" s="2418"/>
      <c r="J113" s="2419"/>
      <c r="K113" s="2420"/>
      <c r="L113" s="2421"/>
      <c r="M113" s="880">
        <v>613</v>
      </c>
      <c r="N113" s="880"/>
      <c r="O113" s="880"/>
      <c r="P113" s="880">
        <v>613</v>
      </c>
      <c r="Q113" s="886">
        <v>613</v>
      </c>
      <c r="R113" s="2422"/>
      <c r="S113" s="2423"/>
      <c r="T113" s="2422"/>
      <c r="U113" s="2423"/>
      <c r="V113" s="1038"/>
      <c r="W113" s="1038"/>
    </row>
    <row r="114" spans="1:26" ht="58.9" hidden="1" customHeight="1" thickBot="1" x14ac:dyDescent="0.4">
      <c r="A114" s="2397" t="s">
        <v>740</v>
      </c>
      <c r="B114" s="2398"/>
      <c r="C114" s="2399"/>
      <c r="D114" s="2417" t="s">
        <v>741</v>
      </c>
      <c r="E114" s="2418"/>
      <c r="F114" s="2418"/>
      <c r="G114" s="2418"/>
      <c r="H114" s="2418"/>
      <c r="I114" s="2418"/>
      <c r="J114" s="2419"/>
      <c r="K114" s="2424"/>
      <c r="L114" s="2425"/>
      <c r="M114" s="880"/>
      <c r="N114" s="880"/>
      <c r="O114" s="880"/>
      <c r="P114" s="880"/>
      <c r="Q114" s="886"/>
      <c r="R114" s="2426"/>
      <c r="S114" s="2427"/>
      <c r="T114" s="2426"/>
      <c r="U114" s="2427"/>
      <c r="V114" s="1039"/>
      <c r="W114" s="1039"/>
    </row>
    <row r="115" spans="1:26" ht="34.5" customHeight="1" thickBot="1" x14ac:dyDescent="0.4">
      <c r="A115" s="2397" t="s">
        <v>971</v>
      </c>
      <c r="B115" s="2398"/>
      <c r="C115" s="2399"/>
      <c r="D115" s="2400" t="s">
        <v>743</v>
      </c>
      <c r="E115" s="2401"/>
      <c r="F115" s="2401"/>
      <c r="G115" s="2401"/>
      <c r="H115" s="2401"/>
      <c r="I115" s="2401"/>
      <c r="J115" s="2402"/>
      <c r="K115" s="2403">
        <v>50</v>
      </c>
      <c r="L115" s="2404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2405">
        <v>212</v>
      </c>
      <c r="S115" s="2406"/>
      <c r="T115" s="2405">
        <v>220</v>
      </c>
      <c r="U115" s="2406"/>
      <c r="V115" s="1037">
        <v>75</v>
      </c>
      <c r="W115" s="1037">
        <v>100</v>
      </c>
    </row>
    <row r="116" spans="1:26" ht="12.75" customHeight="1" x14ac:dyDescent="0.35">
      <c r="A116" s="2407" t="s">
        <v>744</v>
      </c>
      <c r="B116" s="2408"/>
      <c r="C116" s="2409"/>
      <c r="D116" s="982"/>
      <c r="E116" s="983"/>
      <c r="F116" s="983"/>
      <c r="G116" s="983"/>
      <c r="H116" s="983"/>
      <c r="I116" s="983"/>
      <c r="J116" s="984"/>
      <c r="K116" s="2413">
        <f>K102+K32</f>
        <v>89056.6</v>
      </c>
      <c r="L116" s="2414"/>
      <c r="M116" s="2372">
        <v>25719.42</v>
      </c>
      <c r="N116" s="2372"/>
      <c r="O116" s="2372"/>
      <c r="P116" s="2370">
        <f>P32+P102</f>
        <v>33106.455999999998</v>
      </c>
      <c r="Q116" s="2372"/>
      <c r="R116" s="2373">
        <f>R32+R102</f>
        <v>74406.700000000012</v>
      </c>
      <c r="S116" s="2374"/>
      <c r="T116" s="2373">
        <f>T32+T102</f>
        <v>76479.200000000012</v>
      </c>
      <c r="U116" s="2374"/>
      <c r="V116" s="2350">
        <f>V102+V32</f>
        <v>90091</v>
      </c>
      <c r="W116" s="2350">
        <f>W102+W32</f>
        <v>92491.5</v>
      </c>
    </row>
    <row r="117" spans="1:26" ht="16.5" customHeight="1" thickBot="1" x14ac:dyDescent="0.4">
      <c r="A117" s="2410"/>
      <c r="B117" s="2411"/>
      <c r="C117" s="2412"/>
      <c r="D117" s="979"/>
      <c r="E117" s="980"/>
      <c r="F117" s="980"/>
      <c r="G117" s="986"/>
      <c r="H117" s="986"/>
      <c r="I117" s="986"/>
      <c r="J117" s="987"/>
      <c r="K117" s="2415"/>
      <c r="L117" s="2416"/>
      <c r="M117" s="2372"/>
      <c r="N117" s="2372"/>
      <c r="O117" s="2372"/>
      <c r="P117" s="2371"/>
      <c r="Q117" s="2372"/>
      <c r="R117" s="2375"/>
      <c r="S117" s="2376"/>
      <c r="T117" s="2375"/>
      <c r="U117" s="2376"/>
      <c r="V117" s="2351"/>
      <c r="W117" s="2351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3">
        <v>356.3</v>
      </c>
      <c r="Y119" s="1703">
        <v>356.3</v>
      </c>
      <c r="Z119" s="1703">
        <v>356.3</v>
      </c>
    </row>
    <row r="120" spans="1:26" x14ac:dyDescent="0.35">
      <c r="X120" s="1703">
        <v>106.9</v>
      </c>
      <c r="Y120" s="1703">
        <v>88.4</v>
      </c>
      <c r="Z120" s="1703">
        <v>874.4</v>
      </c>
    </row>
    <row r="121" spans="1:26" x14ac:dyDescent="0.35">
      <c r="X121" s="1703">
        <v>-648.9</v>
      </c>
      <c r="Y121" s="1703">
        <v>-648.9</v>
      </c>
      <c r="Z121" s="1703">
        <v>-648.9</v>
      </c>
    </row>
    <row r="122" spans="1:26" x14ac:dyDescent="0.35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3" hidden="1" customWidth="1"/>
    <col min="11" max="11" width="14.7265625" style="3" hidden="1" customWidth="1"/>
    <col min="12" max="12" width="15.81640625" style="3" hidden="1" customWidth="1"/>
    <col min="13" max="13" width="18.7265625" style="3" hidden="1" customWidth="1"/>
    <col min="14" max="14" width="22.1796875" style="3" hidden="1" customWidth="1"/>
    <col min="15" max="15" width="22.1796875" style="3" customWidth="1"/>
    <col min="16" max="16" width="22.1796875" style="42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2" ht="15.5" x14ac:dyDescent="0.35">
      <c r="O1" s="4"/>
      <c r="P1" s="410" t="s">
        <v>745</v>
      </c>
      <c r="Q1" s="4"/>
      <c r="R1" s="259"/>
      <c r="S1" s="259"/>
      <c r="T1" s="259"/>
      <c r="U1" s="259"/>
    </row>
    <row r="2" spans="1:22" ht="15.5" x14ac:dyDescent="0.35">
      <c r="L2" s="2601" t="s">
        <v>450</v>
      </c>
      <c r="M2" s="2601"/>
      <c r="N2" s="2601"/>
      <c r="O2" s="2601"/>
      <c r="P2" s="2601"/>
      <c r="Q2" s="4"/>
    </row>
    <row r="3" spans="1:22" ht="15.5" x14ac:dyDescent="0.3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5" x14ac:dyDescent="0.3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5" x14ac:dyDescent="0.25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5">
      <c r="O6" s="4"/>
      <c r="P6" s="413"/>
      <c r="Q6" s="4"/>
      <c r="R6" s="3"/>
      <c r="S6" s="3"/>
      <c r="T6" s="3"/>
      <c r="U6" s="4"/>
      <c r="V6" s="6"/>
    </row>
    <row r="7" spans="1:22" ht="15.5" hidden="1" x14ac:dyDescent="0.3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5" hidden="1" x14ac:dyDescent="0.35">
      <c r="E8" s="254"/>
      <c r="O8" s="254"/>
      <c r="P8" s="415"/>
      <c r="Q8" s="254"/>
      <c r="R8" s="256"/>
      <c r="S8" s="3"/>
      <c r="T8" s="3"/>
      <c r="U8" s="4"/>
      <c r="V8" s="6"/>
    </row>
    <row r="9" spans="1:22" ht="15.5" hidden="1" x14ac:dyDescent="0.3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5" x14ac:dyDescent="0.3">
      <c r="B12" s="2716"/>
      <c r="C12" s="2716"/>
      <c r="D12" s="2716"/>
      <c r="E12" s="2716"/>
      <c r="F12" s="2716"/>
      <c r="G12" s="2716"/>
      <c r="H12" s="2716"/>
      <c r="I12" s="2716"/>
      <c r="J12" s="271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5" customHeight="1" x14ac:dyDescent="0.3">
      <c r="A13" s="2726" t="s">
        <v>441</v>
      </c>
      <c r="B13" s="2726"/>
      <c r="C13" s="2726"/>
      <c r="D13" s="2726"/>
      <c r="E13" s="2726"/>
      <c r="F13" s="2726"/>
      <c r="G13" s="2726"/>
      <c r="H13" s="2726"/>
      <c r="I13" s="2726"/>
      <c r="J13" s="2726"/>
      <c r="K13" s="2726"/>
      <c r="L13" s="2726"/>
      <c r="M13" s="2726"/>
      <c r="N13" s="2726"/>
      <c r="O13" s="2726"/>
      <c r="P13" s="2726"/>
    </row>
    <row r="14" spans="1:22" ht="17.5" customHeight="1" x14ac:dyDescent="0.3">
      <c r="A14" s="2726" t="s">
        <v>440</v>
      </c>
      <c r="B14" s="2726"/>
      <c r="C14" s="2726"/>
      <c r="D14" s="2726"/>
      <c r="E14" s="2726"/>
      <c r="F14" s="2726"/>
      <c r="G14" s="2726"/>
      <c r="H14" s="2726"/>
      <c r="I14" s="2726"/>
      <c r="J14" s="2726"/>
      <c r="K14" s="2726"/>
      <c r="L14" s="2726"/>
      <c r="M14" s="2726"/>
      <c r="N14" s="2726"/>
      <c r="O14" s="2726"/>
      <c r="P14" s="2726"/>
      <c r="Q14" s="890">
        <v>2408.288</v>
      </c>
      <c r="R14" s="890">
        <v>4974.3450000000003</v>
      </c>
    </row>
    <row r="15" spans="1:22" ht="15" customHeight="1" x14ac:dyDescent="0.3">
      <c r="A15" s="2726" t="s">
        <v>439</v>
      </c>
      <c r="B15" s="2726"/>
      <c r="C15" s="2726"/>
      <c r="D15" s="2726"/>
      <c r="E15" s="2726"/>
      <c r="F15" s="2726"/>
      <c r="G15" s="2726"/>
      <c r="H15" s="2726"/>
      <c r="I15" s="2726"/>
      <c r="J15" s="2726"/>
      <c r="K15" s="2726"/>
      <c r="L15" s="2726"/>
      <c r="M15" s="2726"/>
      <c r="N15" s="2726"/>
      <c r="O15" s="2726"/>
      <c r="P15" s="2726"/>
      <c r="Q15" s="891">
        <f>O189+Q14</f>
        <v>105537.727</v>
      </c>
      <c r="R15" s="891">
        <f>R14+P189</f>
        <v>110231.322</v>
      </c>
    </row>
    <row r="16" spans="1:22" ht="13.5" customHeight="1" x14ac:dyDescent="0.3">
      <c r="A16" s="2726" t="s">
        <v>438</v>
      </c>
      <c r="B16" s="2726"/>
      <c r="C16" s="2726"/>
      <c r="D16" s="2726"/>
      <c r="E16" s="2726"/>
      <c r="F16" s="2726"/>
      <c r="G16" s="2726"/>
      <c r="H16" s="2726"/>
      <c r="I16" s="2726"/>
      <c r="J16" s="2726"/>
      <c r="K16" s="2726"/>
      <c r="L16" s="2726"/>
      <c r="M16" s="2726"/>
      <c r="N16" s="2726"/>
      <c r="O16" s="2726"/>
      <c r="P16" s="2726"/>
    </row>
    <row r="17" spans="1:24" ht="16.149999999999999" customHeight="1" x14ac:dyDescent="0.3">
      <c r="A17" s="2726" t="s">
        <v>898</v>
      </c>
      <c r="B17" s="2726"/>
      <c r="C17" s="2726"/>
      <c r="D17" s="2726"/>
      <c r="E17" s="2726"/>
      <c r="F17" s="2726"/>
      <c r="G17" s="2726"/>
      <c r="H17" s="2726"/>
      <c r="I17" s="2726"/>
      <c r="J17" s="2726"/>
      <c r="K17" s="2726"/>
      <c r="L17" s="2726"/>
      <c r="M17" s="2726"/>
      <c r="N17" s="2726"/>
      <c r="O17" s="2726"/>
      <c r="P17" s="2726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26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3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3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3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5" hidden="1" thickBot="1" x14ac:dyDescent="0.3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3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3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5" hidden="1" thickBot="1" x14ac:dyDescent="0.3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5.5" hidden="1" thickBot="1" x14ac:dyDescent="0.3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5.5" hidden="1" thickBot="1" x14ac:dyDescent="0.3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3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52.5" hidden="1" thickBot="1" x14ac:dyDescent="0.3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5.5" hidden="1" thickBot="1" x14ac:dyDescent="0.3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5.5" hidden="1" thickBot="1" x14ac:dyDescent="0.3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52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52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5" hidden="1" thickBot="1" x14ac:dyDescent="0.3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3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3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5.5" hidden="1" thickBot="1" x14ac:dyDescent="0.3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5" hidden="1" thickBot="1" x14ac:dyDescent="0.3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2.5" hidden="1" thickBot="1" x14ac:dyDescent="0.3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719" t="s">
        <v>20</v>
      </c>
      <c r="H127" s="2720"/>
      <c r="I127" s="2720"/>
      <c r="J127" s="2721"/>
      <c r="K127" s="41"/>
      <c r="L127" s="1"/>
      <c r="M127" s="1"/>
      <c r="N127" s="1"/>
      <c r="O127" s="1"/>
      <c r="P127" s="237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713" t="s">
        <v>17</v>
      </c>
      <c r="H128" s="2714"/>
      <c r="I128" s="2714"/>
      <c r="J128" s="2715"/>
      <c r="K128" s="41"/>
      <c r="L128" s="1"/>
      <c r="M128" s="1"/>
      <c r="N128" s="1"/>
      <c r="O128" s="1"/>
      <c r="P128" s="237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5.5" hidden="1" thickBot="1" x14ac:dyDescent="0.3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3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5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.5" hidden="1" thickBot="1" x14ac:dyDescent="0.3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5" hidden="1" thickBot="1" x14ac:dyDescent="0.3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3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4.5" hidden="1" thickBot="1" x14ac:dyDescent="0.3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3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.5" hidden="1" thickBot="1" x14ac:dyDescent="0.3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5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4.5" hidden="1" thickBot="1" x14ac:dyDescent="0.3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3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5.5" hidden="1" thickBot="1" x14ac:dyDescent="0.3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52.5" hidden="1" thickBot="1" x14ac:dyDescent="0.3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5.5" hidden="1" thickBot="1" x14ac:dyDescent="0.3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5" hidden="1" customHeight="1" x14ac:dyDescent="0.25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3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52.5" hidden="1" thickBot="1" x14ac:dyDescent="0.3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52.5" hidden="1" thickBot="1" x14ac:dyDescent="0.3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5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" hidden="1" thickBot="1" x14ac:dyDescent="0.3"/>
    <row r="186" spans="1:17" ht="13" hidden="1" thickBot="1" x14ac:dyDescent="0.3"/>
    <row r="187" spans="1:17" ht="13" hidden="1" thickBot="1" x14ac:dyDescent="0.3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9" x14ac:dyDescent="0.25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2" x14ac:dyDescent="0.3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5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5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5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13" x14ac:dyDescent="0.25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13" x14ac:dyDescent="0.25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9" hidden="1" x14ac:dyDescent="0.25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9" x14ac:dyDescent="0.25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6" x14ac:dyDescent="0.25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ht="13" x14ac:dyDescent="0.25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ht="13" x14ac:dyDescent="0.25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2" x14ac:dyDescent="0.25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ht="13" x14ac:dyDescent="0.25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5" hidden="1" x14ac:dyDescent="0.3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5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5" customHeight="1" x14ac:dyDescent="0.25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5" x14ac:dyDescent="0.25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9" x14ac:dyDescent="0.25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9" x14ac:dyDescent="0.25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6" x14ac:dyDescent="0.25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9" hidden="1" x14ac:dyDescent="0.25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6" hidden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5" hidden="1" customHeight="1" x14ac:dyDescent="0.3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9" hidden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t="13" hidden="1" x14ac:dyDescent="0.3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5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9" x14ac:dyDescent="0.3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0" x14ac:dyDescent="0.3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ht="13" x14ac:dyDescent="0.3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0" x14ac:dyDescent="0.3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13" x14ac:dyDescent="0.3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0" x14ac:dyDescent="0.3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9" x14ac:dyDescent="0.3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ht="13" x14ac:dyDescent="0.3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ht="13" x14ac:dyDescent="0.3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3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5" customHeight="1" x14ac:dyDescent="0.3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5" customHeight="1" x14ac:dyDescent="0.3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5" customHeight="1" x14ac:dyDescent="0.3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3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3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3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3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3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3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3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3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9" hidden="1" x14ac:dyDescent="0.3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t="13" hidden="1" x14ac:dyDescent="0.3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9" hidden="1" x14ac:dyDescent="0.3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9" hidden="1" x14ac:dyDescent="0.25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t="13" hidden="1" x14ac:dyDescent="0.25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9" hidden="1" x14ac:dyDescent="0.3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9" hidden="1" x14ac:dyDescent="0.25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9" hidden="1" x14ac:dyDescent="0.3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5" hidden="1" x14ac:dyDescent="0.25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t="13" hidden="1" x14ac:dyDescent="0.25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9" hidden="1" x14ac:dyDescent="0.3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2" hidden="1" x14ac:dyDescent="0.25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5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9" hidden="1" x14ac:dyDescent="0.25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t="13" hidden="1" x14ac:dyDescent="0.3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9" hidden="1" x14ac:dyDescent="0.3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52" hidden="1" x14ac:dyDescent="0.25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t="13" hidden="1" x14ac:dyDescent="0.3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9" hidden="1" x14ac:dyDescent="0.3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650000000000006" hidden="1" customHeight="1" x14ac:dyDescent="0.25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5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3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3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5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3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5" hidden="1" customHeight="1" x14ac:dyDescent="0.25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3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3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t="13" hidden="1" x14ac:dyDescent="0.25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6" hidden="1" x14ac:dyDescent="0.3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9" x14ac:dyDescent="0.25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ht="13" x14ac:dyDescent="0.3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9" x14ac:dyDescent="0.25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6" x14ac:dyDescent="0.25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9" x14ac:dyDescent="0.25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5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9" hidden="1" x14ac:dyDescent="0.25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5" hidden="1" customHeight="1" x14ac:dyDescent="0.25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3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3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5" hidden="1" customHeight="1" x14ac:dyDescent="0.25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 t="shared" ref="N379:N382" si="40">N380</f>
        <v>599.60299999999995</v>
      </c>
      <c r="O379" s="103"/>
      <c r="P379" s="122"/>
    </row>
    <row r="380" spans="1:16" ht="28.15" hidden="1" customHeight="1" x14ac:dyDescent="0.25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 t="shared" si="40"/>
        <v>599.60299999999995</v>
      </c>
      <c r="O380" s="103"/>
      <c r="P380" s="122"/>
    </row>
    <row r="381" spans="1:16" ht="28.15" hidden="1" customHeight="1" x14ac:dyDescent="0.25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 t="shared" si="40"/>
        <v>599.60299999999995</v>
      </c>
      <c r="O381" s="103"/>
      <c r="P381" s="122"/>
    </row>
    <row r="382" spans="1:16" ht="16.149999999999999" hidden="1" customHeight="1" x14ac:dyDescent="0.3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 t="shared" si="40"/>
        <v>599.60299999999995</v>
      </c>
      <c r="O382" s="103"/>
      <c r="P382" s="122"/>
    </row>
    <row r="383" spans="1:16" ht="40.15" hidden="1" customHeight="1" x14ac:dyDescent="0.3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2" x14ac:dyDescent="0.25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1">N385</f>
        <v>1450.866</v>
      </c>
      <c r="O384" s="87">
        <f t="shared" si="41"/>
        <v>1540.4269999999999</v>
      </c>
      <c r="P384" s="96">
        <f t="shared" si="41"/>
        <v>1632.8530000000001</v>
      </c>
    </row>
    <row r="385" spans="1:24" ht="21" customHeight="1" x14ac:dyDescent="0.25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1"/>
        <v>1450.866</v>
      </c>
      <c r="O385" s="53">
        <f t="shared" si="41"/>
        <v>1540.4269999999999</v>
      </c>
      <c r="P385" s="429">
        <f t="shared" si="41"/>
        <v>1632.8530000000001</v>
      </c>
    </row>
    <row r="386" spans="1:24" ht="39" x14ac:dyDescent="0.25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1"/>
        <v>1450.866</v>
      </c>
      <c r="O386" s="93">
        <f t="shared" si="41"/>
        <v>1540.4269999999999</v>
      </c>
      <c r="P386" s="122">
        <f t="shared" si="41"/>
        <v>1632.8530000000001</v>
      </c>
    </row>
    <row r="387" spans="1:24" ht="13" x14ac:dyDescent="0.3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1"/>
        <v>1450.866</v>
      </c>
      <c r="O387" s="93">
        <f t="shared" si="41"/>
        <v>1540.4269999999999</v>
      </c>
      <c r="P387" s="122">
        <f t="shared" si="41"/>
        <v>1632.8530000000001</v>
      </c>
    </row>
    <row r="388" spans="1:24" ht="39" x14ac:dyDescent="0.3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6" x14ac:dyDescent="0.25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2">N390</f>
        <v>293.2</v>
      </c>
      <c r="O389" s="78">
        <f t="shared" si="42"/>
        <v>826.08699999999999</v>
      </c>
      <c r="P389" s="96">
        <f t="shared" si="42"/>
        <v>875.65099999999995</v>
      </c>
    </row>
    <row r="390" spans="1:24" ht="13" x14ac:dyDescent="0.25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2"/>
        <v>293.2</v>
      </c>
      <c r="O390" s="7">
        <f t="shared" si="42"/>
        <v>826.08699999999999</v>
      </c>
      <c r="P390" s="429">
        <f t="shared" si="42"/>
        <v>875.65099999999995</v>
      </c>
    </row>
    <row r="391" spans="1:24" ht="13" x14ac:dyDescent="0.25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ht="13" x14ac:dyDescent="0.25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3">N393</f>
        <v>260</v>
      </c>
      <c r="O392" s="7">
        <f t="shared" si="43"/>
        <v>726.08699999999999</v>
      </c>
      <c r="P392" s="429">
        <f t="shared" si="43"/>
        <v>775.65099999999995</v>
      </c>
    </row>
    <row r="393" spans="1:24" ht="26" x14ac:dyDescent="0.25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3"/>
        <v>260</v>
      </c>
      <c r="O393" s="7">
        <f t="shared" si="43"/>
        <v>726.08699999999999</v>
      </c>
      <c r="P393" s="429">
        <f t="shared" si="43"/>
        <v>775.65099999999995</v>
      </c>
    </row>
    <row r="394" spans="1:24" ht="13" x14ac:dyDescent="0.25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t="13" hidden="1" x14ac:dyDescent="0.25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t="13" hidden="1" x14ac:dyDescent="0.25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ht="13" x14ac:dyDescent="0.3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ht="13" x14ac:dyDescent="0.25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9" x14ac:dyDescent="0.3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6" hidden="1" x14ac:dyDescent="0.3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6" hidden="1" x14ac:dyDescent="0.3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t="13" hidden="1" x14ac:dyDescent="0.3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ht="13" x14ac:dyDescent="0.3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ht="13" x14ac:dyDescent="0.3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ht="13" x14ac:dyDescent="0.3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4">N406</f>
        <v>883.69100000000003</v>
      </c>
      <c r="O405" s="92">
        <f t="shared" si="44"/>
        <v>626.84299999999996</v>
      </c>
      <c r="P405" s="124">
        <f t="shared" si="44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5" customHeight="1" x14ac:dyDescent="0.3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4"/>
        <v>883.69100000000003</v>
      </c>
      <c r="O406" s="7">
        <f t="shared" si="44"/>
        <v>626.84299999999996</v>
      </c>
      <c r="P406" s="429">
        <f t="shared" si="44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ht="13" x14ac:dyDescent="0.3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9" hidden="1" x14ac:dyDescent="0.3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t="13" hidden="1" x14ac:dyDescent="0.3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t="13" hidden="1" x14ac:dyDescent="0.3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5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ht="13" x14ac:dyDescent="0.3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ht="13" x14ac:dyDescent="0.3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9" hidden="1" x14ac:dyDescent="0.25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6" hidden="1" x14ac:dyDescent="0.25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t="13" hidden="1" x14ac:dyDescent="0.25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6" hidden="1" x14ac:dyDescent="0.25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t="13" hidden="1" x14ac:dyDescent="0.25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t="13" hidden="1" x14ac:dyDescent="0.3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2" hidden="1" x14ac:dyDescent="0.25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6" hidden="1" x14ac:dyDescent="0.3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t="13" hidden="1" x14ac:dyDescent="0.3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ht="13" x14ac:dyDescent="0.3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6" x14ac:dyDescent="0.3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x14ac:dyDescent="0.3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6" hidden="1" x14ac:dyDescent="0.3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t="13" hidden="1" x14ac:dyDescent="0.3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6" x14ac:dyDescent="0.3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ht="13" x14ac:dyDescent="0.3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ht="13" x14ac:dyDescent="0.3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9" hidden="1" x14ac:dyDescent="0.3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9" hidden="1" x14ac:dyDescent="0.3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6" hidden="1" x14ac:dyDescent="0.3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2713" t="s">
        <v>20</v>
      </c>
      <c r="H434" s="2714"/>
      <c r="I434" s="2714"/>
      <c r="J434" s="2715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5" hidden="1" customHeight="1" x14ac:dyDescent="0.25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2713" t="s">
        <v>17</v>
      </c>
      <c r="H435" s="2714"/>
      <c r="I435" s="2714"/>
      <c r="J435" s="2715"/>
      <c r="K435" s="41"/>
      <c r="L435" s="2"/>
      <c r="M435" s="40"/>
      <c r="N435" s="2"/>
      <c r="O435" s="2"/>
      <c r="P435" s="433"/>
    </row>
    <row r="436" spans="1:29" ht="26" hidden="1" x14ac:dyDescent="0.3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t="13" hidden="1" x14ac:dyDescent="0.3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t="13" hidden="1" x14ac:dyDescent="0.3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t="13" hidden="1" x14ac:dyDescent="0.3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t="13" hidden="1" x14ac:dyDescent="0.3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t="13" hidden="1" x14ac:dyDescent="0.3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5">J442</f>
        <v>153.32</v>
      </c>
      <c r="K441" s="7">
        <f t="shared" si="45"/>
        <v>172</v>
      </c>
      <c r="L441" s="7">
        <f t="shared" si="45"/>
        <v>172</v>
      </c>
      <c r="M441" s="7">
        <f t="shared" si="45"/>
        <v>172</v>
      </c>
      <c r="N441" s="7">
        <f t="shared" si="45"/>
        <v>131.85499999999999</v>
      </c>
      <c r="O441" s="7">
        <f t="shared" si="45"/>
        <v>0</v>
      </c>
      <c r="P441" s="429">
        <f t="shared" si="45"/>
        <v>0</v>
      </c>
    </row>
    <row r="442" spans="1:29" ht="13" hidden="1" x14ac:dyDescent="0.25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6" hidden="1" x14ac:dyDescent="0.25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6">N444</f>
        <v>4460.87</v>
      </c>
      <c r="O443" s="78">
        <f t="shared" si="46"/>
        <v>0</v>
      </c>
      <c r="P443" s="96">
        <f t="shared" si="46"/>
        <v>0</v>
      </c>
    </row>
    <row r="444" spans="1:29" ht="13" hidden="1" x14ac:dyDescent="0.25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6"/>
        <v>4460.87</v>
      </c>
      <c r="O444" s="7">
        <f t="shared" si="46"/>
        <v>0</v>
      </c>
      <c r="P444" s="429">
        <f t="shared" si="46"/>
        <v>0</v>
      </c>
    </row>
    <row r="445" spans="1:29" ht="13" hidden="1" x14ac:dyDescent="0.3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6" hidden="1" x14ac:dyDescent="0.25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7">N447</f>
        <v>0</v>
      </c>
      <c r="O446" s="67">
        <f t="shared" si="47"/>
        <v>0</v>
      </c>
      <c r="P446" s="434">
        <f t="shared" si="47"/>
        <v>0</v>
      </c>
    </row>
    <row r="447" spans="1:29" ht="26" hidden="1" x14ac:dyDescent="0.25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7"/>
        <v>0</v>
      </c>
      <c r="O447" s="67">
        <f t="shared" si="47"/>
        <v>0</v>
      </c>
      <c r="P447" s="434">
        <f t="shared" si="47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t="13" hidden="1" x14ac:dyDescent="0.25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9" hidden="1" x14ac:dyDescent="0.25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8">N450</f>
        <v>0</v>
      </c>
      <c r="O449" s="67">
        <f t="shared" si="48"/>
        <v>0</v>
      </c>
      <c r="P449" s="434">
        <f t="shared" si="48"/>
        <v>0</v>
      </c>
    </row>
    <row r="450" spans="1:16" ht="26" hidden="1" x14ac:dyDescent="0.25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8"/>
        <v>0</v>
      </c>
      <c r="O450" s="67">
        <f t="shared" si="48"/>
        <v>0</v>
      </c>
      <c r="P450" s="434">
        <f t="shared" si="48"/>
        <v>0</v>
      </c>
    </row>
    <row r="451" spans="1:16" ht="13" hidden="1" x14ac:dyDescent="0.25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6" hidden="1" x14ac:dyDescent="0.25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6" hidden="1" x14ac:dyDescent="0.25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t="13" hidden="1" x14ac:dyDescent="0.3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5" hidden="1" customHeight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5" hidden="1" customHeight="1" x14ac:dyDescent="0.25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5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5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2713" t="s">
        <v>20</v>
      </c>
      <c r="H460" s="2714"/>
      <c r="I460" s="2714"/>
      <c r="J460" s="2715"/>
      <c r="K460" s="45"/>
      <c r="L460" s="44"/>
      <c r="M460" s="43"/>
      <c r="N460" s="2"/>
      <c r="O460" s="2"/>
      <c r="P460" s="433"/>
    </row>
    <row r="461" spans="1:16" ht="48" hidden="1" customHeight="1" x14ac:dyDescent="0.25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2713" t="s">
        <v>17</v>
      </c>
      <c r="H461" s="2714"/>
      <c r="I461" s="2714"/>
      <c r="J461" s="2715"/>
      <c r="K461" s="41"/>
      <c r="L461" s="2"/>
      <c r="M461" s="40"/>
      <c r="N461" s="2"/>
      <c r="O461" s="2"/>
      <c r="P461" s="433"/>
    </row>
    <row r="462" spans="1:16" ht="16.899999999999999" hidden="1" customHeight="1" x14ac:dyDescent="0.3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6" hidden="1" x14ac:dyDescent="0.3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3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3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3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3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3" x14ac:dyDescent="0.3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9">N469</f>
        <v>713.495</v>
      </c>
      <c r="O468" s="28">
        <f t="shared" si="49"/>
        <v>822.47400000000005</v>
      </c>
      <c r="P468" s="27">
        <f t="shared" si="49"/>
        <v>871.82299999999998</v>
      </c>
      <c r="X468" s="1"/>
    </row>
    <row r="469" spans="1:24" ht="16.899999999999999" customHeight="1" x14ac:dyDescent="0.3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9"/>
        <v>713.495</v>
      </c>
      <c r="O469" s="28">
        <f t="shared" si="49"/>
        <v>822.47400000000005</v>
      </c>
      <c r="P469" s="27">
        <f t="shared" si="49"/>
        <v>871.82299999999998</v>
      </c>
      <c r="X469" s="1"/>
    </row>
    <row r="470" spans="1:24" ht="16.899999999999999" customHeight="1" x14ac:dyDescent="0.3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6" x14ac:dyDescent="0.3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ht="13" x14ac:dyDescent="0.3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ht="13" x14ac:dyDescent="0.3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6" x14ac:dyDescent="0.3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3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5">
      <c r="X476" s="1"/>
    </row>
    <row r="478" spans="1:24" x14ac:dyDescent="0.25">
      <c r="O478" s="542">
        <f>O441+O405</f>
        <v>626.84299999999996</v>
      </c>
      <c r="P478" s="543">
        <f>P441+P405</f>
        <v>664.45399999999995</v>
      </c>
    </row>
  </sheetData>
  <mergeCells count="13">
    <mergeCell ref="G461:J461"/>
    <mergeCell ref="G127:J127"/>
    <mergeCell ref="G128:J128"/>
    <mergeCell ref="G434:J434"/>
    <mergeCell ref="G435:J435"/>
    <mergeCell ref="G460:J460"/>
    <mergeCell ref="A16:P16"/>
    <mergeCell ref="A17:P17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bestFit="1" customWidth="1"/>
    <col min="23" max="24" width="10.1796875" style="1" bestFit="1" customWidth="1"/>
    <col min="25" max="16384" width="9.1796875" style="1"/>
  </cols>
  <sheetData>
    <row r="1" spans="1:21" ht="15.5" x14ac:dyDescent="0.3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5" x14ac:dyDescent="0.3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5" x14ac:dyDescent="0.3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5" x14ac:dyDescent="0.3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5" x14ac:dyDescent="0.25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5" x14ac:dyDescent="0.3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5" hidden="1" x14ac:dyDescent="0.3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5" hidden="1" x14ac:dyDescent="0.3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ht="13" x14ac:dyDescent="0.3">
      <c r="G11" s="392"/>
      <c r="H11" s="393"/>
      <c r="I11" s="394">
        <v>3685.4</v>
      </c>
      <c r="N11" s="393"/>
      <c r="U11" s="393"/>
    </row>
    <row r="12" spans="1:21" ht="15.5" x14ac:dyDescent="0.3">
      <c r="B12" s="2727"/>
      <c r="C12" s="2727"/>
      <c r="D12" s="2727"/>
      <c r="E12" s="2727"/>
      <c r="F12" s="2727"/>
      <c r="G12" s="2727"/>
      <c r="H12" s="2727"/>
      <c r="I12" s="395" t="e">
        <f>I10-I11-#REF!</f>
        <v>#REF!</v>
      </c>
      <c r="N12" s="1"/>
      <c r="U12" s="1"/>
    </row>
    <row r="13" spans="1:21" ht="15.65" customHeight="1" x14ac:dyDescent="0.25">
      <c r="A13" s="2728" t="s">
        <v>614</v>
      </c>
      <c r="B13" s="2728"/>
      <c r="C13" s="2728"/>
      <c r="D13" s="2728"/>
      <c r="E13" s="2728"/>
      <c r="F13" s="2728"/>
      <c r="G13" s="2728"/>
      <c r="H13" s="2728"/>
      <c r="I13" s="2728"/>
      <c r="J13" s="2728"/>
      <c r="K13" s="2728"/>
      <c r="L13" s="2728"/>
      <c r="M13" s="2728"/>
      <c r="N13" s="2728"/>
      <c r="O13" s="2728"/>
      <c r="P13" s="2728"/>
      <c r="Q13" s="2728"/>
      <c r="R13" s="2728"/>
      <c r="S13" s="2728"/>
      <c r="T13" s="2728"/>
      <c r="U13" s="2728"/>
    </row>
    <row r="14" spans="1:21" ht="15.65" customHeight="1" x14ac:dyDescent="0.25">
      <c r="A14" s="2728" t="s">
        <v>613</v>
      </c>
      <c r="B14" s="2728"/>
      <c r="C14" s="2728"/>
      <c r="D14" s="2728"/>
      <c r="E14" s="2728"/>
      <c r="F14" s="2728"/>
      <c r="G14" s="2728"/>
      <c r="H14" s="2728"/>
      <c r="I14" s="2728"/>
      <c r="J14" s="2728"/>
      <c r="K14" s="2728"/>
      <c r="L14" s="2728"/>
      <c r="M14" s="2728"/>
      <c r="N14" s="2728"/>
      <c r="O14" s="2728"/>
      <c r="P14" s="2728"/>
      <c r="Q14" s="2728"/>
      <c r="R14" s="2728"/>
      <c r="S14" s="2728"/>
      <c r="T14" s="2728"/>
      <c r="U14" s="2728"/>
    </row>
    <row r="15" spans="1:21" ht="15" customHeight="1" x14ac:dyDescent="0.25">
      <c r="A15" s="2728" t="s">
        <v>968</v>
      </c>
      <c r="B15" s="2728"/>
      <c r="C15" s="2728"/>
      <c r="D15" s="2728"/>
      <c r="E15" s="2728"/>
      <c r="F15" s="2728"/>
      <c r="G15" s="2728"/>
      <c r="H15" s="2728"/>
      <c r="I15" s="2728"/>
      <c r="J15" s="2728"/>
      <c r="K15" s="2728"/>
      <c r="L15" s="2728"/>
      <c r="M15" s="2728"/>
      <c r="N15" s="2728"/>
      <c r="O15" s="2728"/>
      <c r="P15" s="2728"/>
      <c r="Q15" s="2728"/>
      <c r="R15" s="2728"/>
      <c r="S15" s="2728"/>
      <c r="T15" s="2728"/>
      <c r="U15" s="2728"/>
    </row>
    <row r="16" spans="1:21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hidden="1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hidden="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hidden="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hidden="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18">I109</f>
        <v>0</v>
      </c>
      <c r="J108" s="1710">
        <f t="shared" si="1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18"/>
        <v>0</v>
      </c>
      <c r="J109" s="1710">
        <f t="shared" si="1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5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18"/>
        <v>0</v>
      </c>
      <c r="J110" s="1710">
        <f t="shared" si="1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5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18"/>
        <v>0</v>
      </c>
      <c r="J111" s="1716">
        <f t="shared" si="1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5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18"/>
        <v>0</v>
      </c>
      <c r="J112" s="1716">
        <f t="shared" si="1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1" x14ac:dyDescent="0.25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5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1" x14ac:dyDescent="0.25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31.5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5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5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19">I139</f>
        <v>0</v>
      </c>
      <c r="J138" s="1710">
        <f t="shared" si="1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1.5" x14ac:dyDescent="0.25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19"/>
        <v>0</v>
      </c>
      <c r="J139" s="1716">
        <f t="shared" si="1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5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19"/>
        <v>0</v>
      </c>
      <c r="J140" s="1716">
        <f t="shared" si="1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1" x14ac:dyDescent="0.25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31.5" x14ac:dyDescent="0.25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777.8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777.8</v>
      </c>
      <c r="U171" s="1682">
        <f t="shared" ref="U171:U174" si="25">U172</f>
        <v>777.8</v>
      </c>
    </row>
    <row r="172" spans="1:2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777.8</v>
      </c>
      <c r="I172" s="841">
        <f t="shared" si="23"/>
        <v>0</v>
      </c>
      <c r="J172" s="276">
        <f t="shared" si="23"/>
        <v>0</v>
      </c>
      <c r="N172" s="1200">
        <f t="shared" si="24"/>
        <v>777.8</v>
      </c>
      <c r="U172" s="1682">
        <f t="shared" si="25"/>
        <v>777.8</v>
      </c>
    </row>
    <row r="173" spans="1:2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777.8</v>
      </c>
      <c r="I174" s="529">
        <f t="shared" si="23"/>
        <v>0</v>
      </c>
      <c r="J174" s="269">
        <f t="shared" si="23"/>
        <v>0</v>
      </c>
      <c r="N174" s="1200">
        <f t="shared" si="24"/>
        <v>777.8</v>
      </c>
      <c r="U174" s="1682">
        <f t="shared" si="25"/>
        <v>777.8</v>
      </c>
    </row>
    <row r="175" spans="1:21" ht="2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1558.5</v>
      </c>
      <c r="U181" s="1682">
        <f>U182</f>
        <v>1490.8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1558.5</v>
      </c>
      <c r="U182" s="1682">
        <f t="shared" ref="U182" si="31">U183</f>
        <v>1490.8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1.5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1.5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51"/>
        <v>0</v>
      </c>
      <c r="J289" s="269">
        <f t="shared" si="51"/>
        <v>0</v>
      </c>
      <c r="N289" s="1200">
        <f>N290</f>
        <v>11461.34</v>
      </c>
      <c r="U289" s="1682">
        <f>U290</f>
        <v>11718.970000000001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0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hidden="1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0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idden="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0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hidden="1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idden="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hidden="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idden="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1.5" hidden="1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idden="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6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customWidth="1"/>
    <col min="12" max="13" width="9.1796875" style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56" width="9.1796875" style="1"/>
    <col min="257" max="257" width="5.26953125" style="1" customWidth="1"/>
    <col min="258" max="258" width="62.453125" style="1" customWidth="1"/>
    <col min="259" max="259" width="10" style="1" customWidth="1"/>
    <col min="260" max="260" width="9.26953125" style="1" customWidth="1"/>
    <col min="261" max="261" width="10.453125" style="1" customWidth="1"/>
    <col min="262" max="262" width="11.54296875" style="1" customWidth="1"/>
    <col min="263" max="263" width="10.26953125" style="1" customWidth="1"/>
    <col min="264" max="264" width="14.7265625" style="1" customWidth="1"/>
    <col min="265" max="266" width="0" style="1" hidden="1" customWidth="1"/>
    <col min="267" max="269" width="9.1796875" style="1" customWidth="1"/>
    <col min="270" max="270" width="14.7265625" style="1" customWidth="1"/>
    <col min="271" max="276" width="0" style="1" hidden="1" customWidth="1"/>
    <col min="277" max="512" width="9.1796875" style="1"/>
    <col min="513" max="513" width="5.26953125" style="1" customWidth="1"/>
    <col min="514" max="514" width="62.453125" style="1" customWidth="1"/>
    <col min="515" max="515" width="10" style="1" customWidth="1"/>
    <col min="516" max="516" width="9.26953125" style="1" customWidth="1"/>
    <col min="517" max="517" width="10.453125" style="1" customWidth="1"/>
    <col min="518" max="518" width="11.54296875" style="1" customWidth="1"/>
    <col min="519" max="519" width="10.26953125" style="1" customWidth="1"/>
    <col min="520" max="520" width="14.7265625" style="1" customWidth="1"/>
    <col min="521" max="522" width="0" style="1" hidden="1" customWidth="1"/>
    <col min="523" max="525" width="9.1796875" style="1" customWidth="1"/>
    <col min="526" max="526" width="14.7265625" style="1" customWidth="1"/>
    <col min="527" max="532" width="0" style="1" hidden="1" customWidth="1"/>
    <col min="533" max="768" width="9.1796875" style="1"/>
    <col min="769" max="769" width="5.26953125" style="1" customWidth="1"/>
    <col min="770" max="770" width="62.453125" style="1" customWidth="1"/>
    <col min="771" max="771" width="10" style="1" customWidth="1"/>
    <col min="772" max="772" width="9.26953125" style="1" customWidth="1"/>
    <col min="773" max="773" width="10.453125" style="1" customWidth="1"/>
    <col min="774" max="774" width="11.54296875" style="1" customWidth="1"/>
    <col min="775" max="775" width="10.26953125" style="1" customWidth="1"/>
    <col min="776" max="776" width="14.7265625" style="1" customWidth="1"/>
    <col min="777" max="778" width="0" style="1" hidden="1" customWidth="1"/>
    <col min="779" max="781" width="9.1796875" style="1" customWidth="1"/>
    <col min="782" max="782" width="14.7265625" style="1" customWidth="1"/>
    <col min="783" max="788" width="0" style="1" hidden="1" customWidth="1"/>
    <col min="789" max="1024" width="9.1796875" style="1"/>
    <col min="1025" max="1025" width="5.26953125" style="1" customWidth="1"/>
    <col min="1026" max="1026" width="62.453125" style="1" customWidth="1"/>
    <col min="1027" max="1027" width="10" style="1" customWidth="1"/>
    <col min="1028" max="1028" width="9.26953125" style="1" customWidth="1"/>
    <col min="1029" max="1029" width="10.453125" style="1" customWidth="1"/>
    <col min="1030" max="1030" width="11.54296875" style="1" customWidth="1"/>
    <col min="1031" max="1031" width="10.26953125" style="1" customWidth="1"/>
    <col min="1032" max="1032" width="14.7265625" style="1" customWidth="1"/>
    <col min="1033" max="1034" width="0" style="1" hidden="1" customWidth="1"/>
    <col min="1035" max="1037" width="9.1796875" style="1" customWidth="1"/>
    <col min="1038" max="1038" width="14.7265625" style="1" customWidth="1"/>
    <col min="1039" max="1044" width="0" style="1" hidden="1" customWidth="1"/>
    <col min="1045" max="1280" width="9.1796875" style="1"/>
    <col min="1281" max="1281" width="5.26953125" style="1" customWidth="1"/>
    <col min="1282" max="1282" width="62.453125" style="1" customWidth="1"/>
    <col min="1283" max="1283" width="10" style="1" customWidth="1"/>
    <col min="1284" max="1284" width="9.26953125" style="1" customWidth="1"/>
    <col min="1285" max="1285" width="10.453125" style="1" customWidth="1"/>
    <col min="1286" max="1286" width="11.54296875" style="1" customWidth="1"/>
    <col min="1287" max="1287" width="10.26953125" style="1" customWidth="1"/>
    <col min="1288" max="1288" width="14.7265625" style="1" customWidth="1"/>
    <col min="1289" max="1290" width="0" style="1" hidden="1" customWidth="1"/>
    <col min="1291" max="1293" width="9.1796875" style="1" customWidth="1"/>
    <col min="1294" max="1294" width="14.7265625" style="1" customWidth="1"/>
    <col min="1295" max="1300" width="0" style="1" hidden="1" customWidth="1"/>
    <col min="1301" max="1536" width="9.1796875" style="1"/>
    <col min="1537" max="1537" width="5.26953125" style="1" customWidth="1"/>
    <col min="1538" max="1538" width="62.453125" style="1" customWidth="1"/>
    <col min="1539" max="1539" width="10" style="1" customWidth="1"/>
    <col min="1540" max="1540" width="9.26953125" style="1" customWidth="1"/>
    <col min="1541" max="1541" width="10.453125" style="1" customWidth="1"/>
    <col min="1542" max="1542" width="11.54296875" style="1" customWidth="1"/>
    <col min="1543" max="1543" width="10.26953125" style="1" customWidth="1"/>
    <col min="1544" max="1544" width="14.7265625" style="1" customWidth="1"/>
    <col min="1545" max="1546" width="0" style="1" hidden="1" customWidth="1"/>
    <col min="1547" max="1549" width="9.1796875" style="1" customWidth="1"/>
    <col min="1550" max="1550" width="14.7265625" style="1" customWidth="1"/>
    <col min="1551" max="1556" width="0" style="1" hidden="1" customWidth="1"/>
    <col min="1557" max="1792" width="9.1796875" style="1"/>
    <col min="1793" max="1793" width="5.26953125" style="1" customWidth="1"/>
    <col min="1794" max="1794" width="62.453125" style="1" customWidth="1"/>
    <col min="1795" max="1795" width="10" style="1" customWidth="1"/>
    <col min="1796" max="1796" width="9.26953125" style="1" customWidth="1"/>
    <col min="1797" max="1797" width="10.453125" style="1" customWidth="1"/>
    <col min="1798" max="1798" width="11.54296875" style="1" customWidth="1"/>
    <col min="1799" max="1799" width="10.26953125" style="1" customWidth="1"/>
    <col min="1800" max="1800" width="14.7265625" style="1" customWidth="1"/>
    <col min="1801" max="1802" width="0" style="1" hidden="1" customWidth="1"/>
    <col min="1803" max="1805" width="9.1796875" style="1" customWidth="1"/>
    <col min="1806" max="1806" width="14.7265625" style="1" customWidth="1"/>
    <col min="1807" max="1812" width="0" style="1" hidden="1" customWidth="1"/>
    <col min="1813" max="2048" width="9.1796875" style="1"/>
    <col min="2049" max="2049" width="5.26953125" style="1" customWidth="1"/>
    <col min="2050" max="2050" width="62.453125" style="1" customWidth="1"/>
    <col min="2051" max="2051" width="10" style="1" customWidth="1"/>
    <col min="2052" max="2052" width="9.26953125" style="1" customWidth="1"/>
    <col min="2053" max="2053" width="10.453125" style="1" customWidth="1"/>
    <col min="2054" max="2054" width="11.54296875" style="1" customWidth="1"/>
    <col min="2055" max="2055" width="10.26953125" style="1" customWidth="1"/>
    <col min="2056" max="2056" width="14.7265625" style="1" customWidth="1"/>
    <col min="2057" max="2058" width="0" style="1" hidden="1" customWidth="1"/>
    <col min="2059" max="2061" width="9.1796875" style="1" customWidth="1"/>
    <col min="2062" max="2062" width="14.7265625" style="1" customWidth="1"/>
    <col min="2063" max="2068" width="0" style="1" hidden="1" customWidth="1"/>
    <col min="2069" max="2304" width="9.1796875" style="1"/>
    <col min="2305" max="2305" width="5.26953125" style="1" customWidth="1"/>
    <col min="2306" max="2306" width="62.453125" style="1" customWidth="1"/>
    <col min="2307" max="2307" width="10" style="1" customWidth="1"/>
    <col min="2308" max="2308" width="9.26953125" style="1" customWidth="1"/>
    <col min="2309" max="2309" width="10.453125" style="1" customWidth="1"/>
    <col min="2310" max="2310" width="11.54296875" style="1" customWidth="1"/>
    <col min="2311" max="2311" width="10.26953125" style="1" customWidth="1"/>
    <col min="2312" max="2312" width="14.7265625" style="1" customWidth="1"/>
    <col min="2313" max="2314" width="0" style="1" hidden="1" customWidth="1"/>
    <col min="2315" max="2317" width="9.1796875" style="1" customWidth="1"/>
    <col min="2318" max="2318" width="14.7265625" style="1" customWidth="1"/>
    <col min="2319" max="2324" width="0" style="1" hidden="1" customWidth="1"/>
    <col min="2325" max="2560" width="9.1796875" style="1"/>
    <col min="2561" max="2561" width="5.26953125" style="1" customWidth="1"/>
    <col min="2562" max="2562" width="62.453125" style="1" customWidth="1"/>
    <col min="2563" max="2563" width="10" style="1" customWidth="1"/>
    <col min="2564" max="2564" width="9.26953125" style="1" customWidth="1"/>
    <col min="2565" max="2565" width="10.453125" style="1" customWidth="1"/>
    <col min="2566" max="2566" width="11.54296875" style="1" customWidth="1"/>
    <col min="2567" max="2567" width="10.26953125" style="1" customWidth="1"/>
    <col min="2568" max="2568" width="14.7265625" style="1" customWidth="1"/>
    <col min="2569" max="2570" width="0" style="1" hidden="1" customWidth="1"/>
    <col min="2571" max="2573" width="9.1796875" style="1" customWidth="1"/>
    <col min="2574" max="2574" width="14.7265625" style="1" customWidth="1"/>
    <col min="2575" max="2580" width="0" style="1" hidden="1" customWidth="1"/>
    <col min="2581" max="2816" width="9.1796875" style="1"/>
    <col min="2817" max="2817" width="5.26953125" style="1" customWidth="1"/>
    <col min="2818" max="2818" width="62.453125" style="1" customWidth="1"/>
    <col min="2819" max="2819" width="10" style="1" customWidth="1"/>
    <col min="2820" max="2820" width="9.26953125" style="1" customWidth="1"/>
    <col min="2821" max="2821" width="10.453125" style="1" customWidth="1"/>
    <col min="2822" max="2822" width="11.54296875" style="1" customWidth="1"/>
    <col min="2823" max="2823" width="10.26953125" style="1" customWidth="1"/>
    <col min="2824" max="2824" width="14.7265625" style="1" customWidth="1"/>
    <col min="2825" max="2826" width="0" style="1" hidden="1" customWidth="1"/>
    <col min="2827" max="2829" width="9.1796875" style="1" customWidth="1"/>
    <col min="2830" max="2830" width="14.7265625" style="1" customWidth="1"/>
    <col min="2831" max="2836" width="0" style="1" hidden="1" customWidth="1"/>
    <col min="2837" max="3072" width="9.1796875" style="1"/>
    <col min="3073" max="3073" width="5.26953125" style="1" customWidth="1"/>
    <col min="3074" max="3074" width="62.453125" style="1" customWidth="1"/>
    <col min="3075" max="3075" width="10" style="1" customWidth="1"/>
    <col min="3076" max="3076" width="9.26953125" style="1" customWidth="1"/>
    <col min="3077" max="3077" width="10.453125" style="1" customWidth="1"/>
    <col min="3078" max="3078" width="11.54296875" style="1" customWidth="1"/>
    <col min="3079" max="3079" width="10.26953125" style="1" customWidth="1"/>
    <col min="3080" max="3080" width="14.7265625" style="1" customWidth="1"/>
    <col min="3081" max="3082" width="0" style="1" hidden="1" customWidth="1"/>
    <col min="3083" max="3085" width="9.1796875" style="1" customWidth="1"/>
    <col min="3086" max="3086" width="14.7265625" style="1" customWidth="1"/>
    <col min="3087" max="3092" width="0" style="1" hidden="1" customWidth="1"/>
    <col min="3093" max="3328" width="9.1796875" style="1"/>
    <col min="3329" max="3329" width="5.26953125" style="1" customWidth="1"/>
    <col min="3330" max="3330" width="62.453125" style="1" customWidth="1"/>
    <col min="3331" max="3331" width="10" style="1" customWidth="1"/>
    <col min="3332" max="3332" width="9.26953125" style="1" customWidth="1"/>
    <col min="3333" max="3333" width="10.453125" style="1" customWidth="1"/>
    <col min="3334" max="3334" width="11.54296875" style="1" customWidth="1"/>
    <col min="3335" max="3335" width="10.26953125" style="1" customWidth="1"/>
    <col min="3336" max="3336" width="14.7265625" style="1" customWidth="1"/>
    <col min="3337" max="3338" width="0" style="1" hidden="1" customWidth="1"/>
    <col min="3339" max="3341" width="9.1796875" style="1" customWidth="1"/>
    <col min="3342" max="3342" width="14.7265625" style="1" customWidth="1"/>
    <col min="3343" max="3348" width="0" style="1" hidden="1" customWidth="1"/>
    <col min="3349" max="3584" width="9.1796875" style="1"/>
    <col min="3585" max="3585" width="5.26953125" style="1" customWidth="1"/>
    <col min="3586" max="3586" width="62.453125" style="1" customWidth="1"/>
    <col min="3587" max="3587" width="10" style="1" customWidth="1"/>
    <col min="3588" max="3588" width="9.26953125" style="1" customWidth="1"/>
    <col min="3589" max="3589" width="10.453125" style="1" customWidth="1"/>
    <col min="3590" max="3590" width="11.54296875" style="1" customWidth="1"/>
    <col min="3591" max="3591" width="10.26953125" style="1" customWidth="1"/>
    <col min="3592" max="3592" width="14.7265625" style="1" customWidth="1"/>
    <col min="3593" max="3594" width="0" style="1" hidden="1" customWidth="1"/>
    <col min="3595" max="3597" width="9.1796875" style="1" customWidth="1"/>
    <col min="3598" max="3598" width="14.7265625" style="1" customWidth="1"/>
    <col min="3599" max="3604" width="0" style="1" hidden="1" customWidth="1"/>
    <col min="3605" max="3840" width="9.1796875" style="1"/>
    <col min="3841" max="3841" width="5.26953125" style="1" customWidth="1"/>
    <col min="3842" max="3842" width="62.453125" style="1" customWidth="1"/>
    <col min="3843" max="3843" width="10" style="1" customWidth="1"/>
    <col min="3844" max="3844" width="9.26953125" style="1" customWidth="1"/>
    <col min="3845" max="3845" width="10.453125" style="1" customWidth="1"/>
    <col min="3846" max="3846" width="11.54296875" style="1" customWidth="1"/>
    <col min="3847" max="3847" width="10.26953125" style="1" customWidth="1"/>
    <col min="3848" max="3848" width="14.7265625" style="1" customWidth="1"/>
    <col min="3849" max="3850" width="0" style="1" hidden="1" customWidth="1"/>
    <col min="3851" max="3853" width="9.1796875" style="1" customWidth="1"/>
    <col min="3854" max="3854" width="14.7265625" style="1" customWidth="1"/>
    <col min="3855" max="3860" width="0" style="1" hidden="1" customWidth="1"/>
    <col min="3861" max="4096" width="9.1796875" style="1"/>
    <col min="4097" max="4097" width="5.26953125" style="1" customWidth="1"/>
    <col min="4098" max="4098" width="62.453125" style="1" customWidth="1"/>
    <col min="4099" max="4099" width="10" style="1" customWidth="1"/>
    <col min="4100" max="4100" width="9.26953125" style="1" customWidth="1"/>
    <col min="4101" max="4101" width="10.453125" style="1" customWidth="1"/>
    <col min="4102" max="4102" width="11.54296875" style="1" customWidth="1"/>
    <col min="4103" max="4103" width="10.26953125" style="1" customWidth="1"/>
    <col min="4104" max="4104" width="14.7265625" style="1" customWidth="1"/>
    <col min="4105" max="4106" width="0" style="1" hidden="1" customWidth="1"/>
    <col min="4107" max="4109" width="9.1796875" style="1" customWidth="1"/>
    <col min="4110" max="4110" width="14.7265625" style="1" customWidth="1"/>
    <col min="4111" max="4116" width="0" style="1" hidden="1" customWidth="1"/>
    <col min="4117" max="4352" width="9.1796875" style="1"/>
    <col min="4353" max="4353" width="5.26953125" style="1" customWidth="1"/>
    <col min="4354" max="4354" width="62.453125" style="1" customWidth="1"/>
    <col min="4355" max="4355" width="10" style="1" customWidth="1"/>
    <col min="4356" max="4356" width="9.26953125" style="1" customWidth="1"/>
    <col min="4357" max="4357" width="10.453125" style="1" customWidth="1"/>
    <col min="4358" max="4358" width="11.54296875" style="1" customWidth="1"/>
    <col min="4359" max="4359" width="10.26953125" style="1" customWidth="1"/>
    <col min="4360" max="4360" width="14.7265625" style="1" customWidth="1"/>
    <col min="4361" max="4362" width="0" style="1" hidden="1" customWidth="1"/>
    <col min="4363" max="4365" width="9.1796875" style="1" customWidth="1"/>
    <col min="4366" max="4366" width="14.7265625" style="1" customWidth="1"/>
    <col min="4367" max="4372" width="0" style="1" hidden="1" customWidth="1"/>
    <col min="4373" max="4608" width="9.1796875" style="1"/>
    <col min="4609" max="4609" width="5.26953125" style="1" customWidth="1"/>
    <col min="4610" max="4610" width="62.453125" style="1" customWidth="1"/>
    <col min="4611" max="4611" width="10" style="1" customWidth="1"/>
    <col min="4612" max="4612" width="9.26953125" style="1" customWidth="1"/>
    <col min="4613" max="4613" width="10.453125" style="1" customWidth="1"/>
    <col min="4614" max="4614" width="11.54296875" style="1" customWidth="1"/>
    <col min="4615" max="4615" width="10.26953125" style="1" customWidth="1"/>
    <col min="4616" max="4616" width="14.7265625" style="1" customWidth="1"/>
    <col min="4617" max="4618" width="0" style="1" hidden="1" customWidth="1"/>
    <col min="4619" max="4621" width="9.1796875" style="1" customWidth="1"/>
    <col min="4622" max="4622" width="14.7265625" style="1" customWidth="1"/>
    <col min="4623" max="4628" width="0" style="1" hidden="1" customWidth="1"/>
    <col min="4629" max="4864" width="9.1796875" style="1"/>
    <col min="4865" max="4865" width="5.26953125" style="1" customWidth="1"/>
    <col min="4866" max="4866" width="62.453125" style="1" customWidth="1"/>
    <col min="4867" max="4867" width="10" style="1" customWidth="1"/>
    <col min="4868" max="4868" width="9.26953125" style="1" customWidth="1"/>
    <col min="4869" max="4869" width="10.453125" style="1" customWidth="1"/>
    <col min="4870" max="4870" width="11.54296875" style="1" customWidth="1"/>
    <col min="4871" max="4871" width="10.26953125" style="1" customWidth="1"/>
    <col min="4872" max="4872" width="14.7265625" style="1" customWidth="1"/>
    <col min="4873" max="4874" width="0" style="1" hidden="1" customWidth="1"/>
    <col min="4875" max="4877" width="9.1796875" style="1" customWidth="1"/>
    <col min="4878" max="4878" width="14.7265625" style="1" customWidth="1"/>
    <col min="4879" max="4884" width="0" style="1" hidden="1" customWidth="1"/>
    <col min="4885" max="5120" width="9.1796875" style="1"/>
    <col min="5121" max="5121" width="5.26953125" style="1" customWidth="1"/>
    <col min="5122" max="5122" width="62.453125" style="1" customWidth="1"/>
    <col min="5123" max="5123" width="10" style="1" customWidth="1"/>
    <col min="5124" max="5124" width="9.26953125" style="1" customWidth="1"/>
    <col min="5125" max="5125" width="10.453125" style="1" customWidth="1"/>
    <col min="5126" max="5126" width="11.54296875" style="1" customWidth="1"/>
    <col min="5127" max="5127" width="10.26953125" style="1" customWidth="1"/>
    <col min="5128" max="5128" width="14.7265625" style="1" customWidth="1"/>
    <col min="5129" max="5130" width="0" style="1" hidden="1" customWidth="1"/>
    <col min="5131" max="5133" width="9.1796875" style="1" customWidth="1"/>
    <col min="5134" max="5134" width="14.7265625" style="1" customWidth="1"/>
    <col min="5135" max="5140" width="0" style="1" hidden="1" customWidth="1"/>
    <col min="5141" max="5376" width="9.1796875" style="1"/>
    <col min="5377" max="5377" width="5.26953125" style="1" customWidth="1"/>
    <col min="5378" max="5378" width="62.453125" style="1" customWidth="1"/>
    <col min="5379" max="5379" width="10" style="1" customWidth="1"/>
    <col min="5380" max="5380" width="9.26953125" style="1" customWidth="1"/>
    <col min="5381" max="5381" width="10.453125" style="1" customWidth="1"/>
    <col min="5382" max="5382" width="11.54296875" style="1" customWidth="1"/>
    <col min="5383" max="5383" width="10.26953125" style="1" customWidth="1"/>
    <col min="5384" max="5384" width="14.7265625" style="1" customWidth="1"/>
    <col min="5385" max="5386" width="0" style="1" hidden="1" customWidth="1"/>
    <col min="5387" max="5389" width="9.1796875" style="1" customWidth="1"/>
    <col min="5390" max="5390" width="14.7265625" style="1" customWidth="1"/>
    <col min="5391" max="5396" width="0" style="1" hidden="1" customWidth="1"/>
    <col min="5397" max="5632" width="9.1796875" style="1"/>
    <col min="5633" max="5633" width="5.26953125" style="1" customWidth="1"/>
    <col min="5634" max="5634" width="62.453125" style="1" customWidth="1"/>
    <col min="5635" max="5635" width="10" style="1" customWidth="1"/>
    <col min="5636" max="5636" width="9.26953125" style="1" customWidth="1"/>
    <col min="5637" max="5637" width="10.453125" style="1" customWidth="1"/>
    <col min="5638" max="5638" width="11.54296875" style="1" customWidth="1"/>
    <col min="5639" max="5639" width="10.26953125" style="1" customWidth="1"/>
    <col min="5640" max="5640" width="14.7265625" style="1" customWidth="1"/>
    <col min="5641" max="5642" width="0" style="1" hidden="1" customWidth="1"/>
    <col min="5643" max="5645" width="9.1796875" style="1" customWidth="1"/>
    <col min="5646" max="5646" width="14.7265625" style="1" customWidth="1"/>
    <col min="5647" max="5652" width="0" style="1" hidden="1" customWidth="1"/>
    <col min="5653" max="5888" width="9.1796875" style="1"/>
    <col min="5889" max="5889" width="5.26953125" style="1" customWidth="1"/>
    <col min="5890" max="5890" width="62.453125" style="1" customWidth="1"/>
    <col min="5891" max="5891" width="10" style="1" customWidth="1"/>
    <col min="5892" max="5892" width="9.26953125" style="1" customWidth="1"/>
    <col min="5893" max="5893" width="10.453125" style="1" customWidth="1"/>
    <col min="5894" max="5894" width="11.54296875" style="1" customWidth="1"/>
    <col min="5895" max="5895" width="10.26953125" style="1" customWidth="1"/>
    <col min="5896" max="5896" width="14.7265625" style="1" customWidth="1"/>
    <col min="5897" max="5898" width="0" style="1" hidden="1" customWidth="1"/>
    <col min="5899" max="5901" width="9.1796875" style="1" customWidth="1"/>
    <col min="5902" max="5902" width="14.7265625" style="1" customWidth="1"/>
    <col min="5903" max="5908" width="0" style="1" hidden="1" customWidth="1"/>
    <col min="5909" max="6144" width="9.1796875" style="1"/>
    <col min="6145" max="6145" width="5.26953125" style="1" customWidth="1"/>
    <col min="6146" max="6146" width="62.453125" style="1" customWidth="1"/>
    <col min="6147" max="6147" width="10" style="1" customWidth="1"/>
    <col min="6148" max="6148" width="9.26953125" style="1" customWidth="1"/>
    <col min="6149" max="6149" width="10.453125" style="1" customWidth="1"/>
    <col min="6150" max="6150" width="11.54296875" style="1" customWidth="1"/>
    <col min="6151" max="6151" width="10.26953125" style="1" customWidth="1"/>
    <col min="6152" max="6152" width="14.7265625" style="1" customWidth="1"/>
    <col min="6153" max="6154" width="0" style="1" hidden="1" customWidth="1"/>
    <col min="6155" max="6157" width="9.1796875" style="1" customWidth="1"/>
    <col min="6158" max="6158" width="14.7265625" style="1" customWidth="1"/>
    <col min="6159" max="6164" width="0" style="1" hidden="1" customWidth="1"/>
    <col min="6165" max="6400" width="9.1796875" style="1"/>
    <col min="6401" max="6401" width="5.26953125" style="1" customWidth="1"/>
    <col min="6402" max="6402" width="62.453125" style="1" customWidth="1"/>
    <col min="6403" max="6403" width="10" style="1" customWidth="1"/>
    <col min="6404" max="6404" width="9.26953125" style="1" customWidth="1"/>
    <col min="6405" max="6405" width="10.453125" style="1" customWidth="1"/>
    <col min="6406" max="6406" width="11.54296875" style="1" customWidth="1"/>
    <col min="6407" max="6407" width="10.26953125" style="1" customWidth="1"/>
    <col min="6408" max="6408" width="14.7265625" style="1" customWidth="1"/>
    <col min="6409" max="6410" width="0" style="1" hidden="1" customWidth="1"/>
    <col min="6411" max="6413" width="9.1796875" style="1" customWidth="1"/>
    <col min="6414" max="6414" width="14.7265625" style="1" customWidth="1"/>
    <col min="6415" max="6420" width="0" style="1" hidden="1" customWidth="1"/>
    <col min="6421" max="6656" width="9.1796875" style="1"/>
    <col min="6657" max="6657" width="5.26953125" style="1" customWidth="1"/>
    <col min="6658" max="6658" width="62.453125" style="1" customWidth="1"/>
    <col min="6659" max="6659" width="10" style="1" customWidth="1"/>
    <col min="6660" max="6660" width="9.26953125" style="1" customWidth="1"/>
    <col min="6661" max="6661" width="10.453125" style="1" customWidth="1"/>
    <col min="6662" max="6662" width="11.54296875" style="1" customWidth="1"/>
    <col min="6663" max="6663" width="10.26953125" style="1" customWidth="1"/>
    <col min="6664" max="6664" width="14.7265625" style="1" customWidth="1"/>
    <col min="6665" max="6666" width="0" style="1" hidden="1" customWidth="1"/>
    <col min="6667" max="6669" width="9.1796875" style="1" customWidth="1"/>
    <col min="6670" max="6670" width="14.7265625" style="1" customWidth="1"/>
    <col min="6671" max="6676" width="0" style="1" hidden="1" customWidth="1"/>
    <col min="6677" max="6912" width="9.1796875" style="1"/>
    <col min="6913" max="6913" width="5.26953125" style="1" customWidth="1"/>
    <col min="6914" max="6914" width="62.453125" style="1" customWidth="1"/>
    <col min="6915" max="6915" width="10" style="1" customWidth="1"/>
    <col min="6916" max="6916" width="9.26953125" style="1" customWidth="1"/>
    <col min="6917" max="6917" width="10.453125" style="1" customWidth="1"/>
    <col min="6918" max="6918" width="11.54296875" style="1" customWidth="1"/>
    <col min="6919" max="6919" width="10.26953125" style="1" customWidth="1"/>
    <col min="6920" max="6920" width="14.7265625" style="1" customWidth="1"/>
    <col min="6921" max="6922" width="0" style="1" hidden="1" customWidth="1"/>
    <col min="6923" max="6925" width="9.1796875" style="1" customWidth="1"/>
    <col min="6926" max="6926" width="14.7265625" style="1" customWidth="1"/>
    <col min="6927" max="6932" width="0" style="1" hidden="1" customWidth="1"/>
    <col min="6933" max="7168" width="9.1796875" style="1"/>
    <col min="7169" max="7169" width="5.26953125" style="1" customWidth="1"/>
    <col min="7170" max="7170" width="62.453125" style="1" customWidth="1"/>
    <col min="7171" max="7171" width="10" style="1" customWidth="1"/>
    <col min="7172" max="7172" width="9.26953125" style="1" customWidth="1"/>
    <col min="7173" max="7173" width="10.453125" style="1" customWidth="1"/>
    <col min="7174" max="7174" width="11.54296875" style="1" customWidth="1"/>
    <col min="7175" max="7175" width="10.26953125" style="1" customWidth="1"/>
    <col min="7176" max="7176" width="14.7265625" style="1" customWidth="1"/>
    <col min="7177" max="7178" width="0" style="1" hidden="1" customWidth="1"/>
    <col min="7179" max="7181" width="9.1796875" style="1" customWidth="1"/>
    <col min="7182" max="7182" width="14.7265625" style="1" customWidth="1"/>
    <col min="7183" max="7188" width="0" style="1" hidden="1" customWidth="1"/>
    <col min="7189" max="7424" width="9.1796875" style="1"/>
    <col min="7425" max="7425" width="5.26953125" style="1" customWidth="1"/>
    <col min="7426" max="7426" width="62.453125" style="1" customWidth="1"/>
    <col min="7427" max="7427" width="10" style="1" customWidth="1"/>
    <col min="7428" max="7428" width="9.26953125" style="1" customWidth="1"/>
    <col min="7429" max="7429" width="10.453125" style="1" customWidth="1"/>
    <col min="7430" max="7430" width="11.54296875" style="1" customWidth="1"/>
    <col min="7431" max="7431" width="10.26953125" style="1" customWidth="1"/>
    <col min="7432" max="7432" width="14.7265625" style="1" customWidth="1"/>
    <col min="7433" max="7434" width="0" style="1" hidden="1" customWidth="1"/>
    <col min="7435" max="7437" width="9.1796875" style="1" customWidth="1"/>
    <col min="7438" max="7438" width="14.7265625" style="1" customWidth="1"/>
    <col min="7439" max="7444" width="0" style="1" hidden="1" customWidth="1"/>
    <col min="7445" max="7680" width="9.1796875" style="1"/>
    <col min="7681" max="7681" width="5.26953125" style="1" customWidth="1"/>
    <col min="7682" max="7682" width="62.453125" style="1" customWidth="1"/>
    <col min="7683" max="7683" width="10" style="1" customWidth="1"/>
    <col min="7684" max="7684" width="9.26953125" style="1" customWidth="1"/>
    <col min="7685" max="7685" width="10.453125" style="1" customWidth="1"/>
    <col min="7686" max="7686" width="11.54296875" style="1" customWidth="1"/>
    <col min="7687" max="7687" width="10.26953125" style="1" customWidth="1"/>
    <col min="7688" max="7688" width="14.7265625" style="1" customWidth="1"/>
    <col min="7689" max="7690" width="0" style="1" hidden="1" customWidth="1"/>
    <col min="7691" max="7693" width="9.1796875" style="1" customWidth="1"/>
    <col min="7694" max="7694" width="14.7265625" style="1" customWidth="1"/>
    <col min="7695" max="7700" width="0" style="1" hidden="1" customWidth="1"/>
    <col min="7701" max="7936" width="9.1796875" style="1"/>
    <col min="7937" max="7937" width="5.26953125" style="1" customWidth="1"/>
    <col min="7938" max="7938" width="62.453125" style="1" customWidth="1"/>
    <col min="7939" max="7939" width="10" style="1" customWidth="1"/>
    <col min="7940" max="7940" width="9.26953125" style="1" customWidth="1"/>
    <col min="7941" max="7941" width="10.453125" style="1" customWidth="1"/>
    <col min="7942" max="7942" width="11.54296875" style="1" customWidth="1"/>
    <col min="7943" max="7943" width="10.26953125" style="1" customWidth="1"/>
    <col min="7944" max="7944" width="14.7265625" style="1" customWidth="1"/>
    <col min="7945" max="7946" width="0" style="1" hidden="1" customWidth="1"/>
    <col min="7947" max="7949" width="9.1796875" style="1" customWidth="1"/>
    <col min="7950" max="7950" width="14.7265625" style="1" customWidth="1"/>
    <col min="7951" max="7956" width="0" style="1" hidden="1" customWidth="1"/>
    <col min="7957" max="8192" width="9.1796875" style="1"/>
    <col min="8193" max="8193" width="5.26953125" style="1" customWidth="1"/>
    <col min="8194" max="8194" width="62.453125" style="1" customWidth="1"/>
    <col min="8195" max="8195" width="10" style="1" customWidth="1"/>
    <col min="8196" max="8196" width="9.26953125" style="1" customWidth="1"/>
    <col min="8197" max="8197" width="10.453125" style="1" customWidth="1"/>
    <col min="8198" max="8198" width="11.54296875" style="1" customWidth="1"/>
    <col min="8199" max="8199" width="10.26953125" style="1" customWidth="1"/>
    <col min="8200" max="8200" width="14.7265625" style="1" customWidth="1"/>
    <col min="8201" max="8202" width="0" style="1" hidden="1" customWidth="1"/>
    <col min="8203" max="8205" width="9.1796875" style="1" customWidth="1"/>
    <col min="8206" max="8206" width="14.7265625" style="1" customWidth="1"/>
    <col min="8207" max="8212" width="0" style="1" hidden="1" customWidth="1"/>
    <col min="8213" max="8448" width="9.1796875" style="1"/>
    <col min="8449" max="8449" width="5.26953125" style="1" customWidth="1"/>
    <col min="8450" max="8450" width="62.453125" style="1" customWidth="1"/>
    <col min="8451" max="8451" width="10" style="1" customWidth="1"/>
    <col min="8452" max="8452" width="9.26953125" style="1" customWidth="1"/>
    <col min="8453" max="8453" width="10.453125" style="1" customWidth="1"/>
    <col min="8454" max="8454" width="11.54296875" style="1" customWidth="1"/>
    <col min="8455" max="8455" width="10.26953125" style="1" customWidth="1"/>
    <col min="8456" max="8456" width="14.7265625" style="1" customWidth="1"/>
    <col min="8457" max="8458" width="0" style="1" hidden="1" customWidth="1"/>
    <col min="8459" max="8461" width="9.1796875" style="1" customWidth="1"/>
    <col min="8462" max="8462" width="14.7265625" style="1" customWidth="1"/>
    <col min="8463" max="8468" width="0" style="1" hidden="1" customWidth="1"/>
    <col min="8469" max="8704" width="9.1796875" style="1"/>
    <col min="8705" max="8705" width="5.26953125" style="1" customWidth="1"/>
    <col min="8706" max="8706" width="62.453125" style="1" customWidth="1"/>
    <col min="8707" max="8707" width="10" style="1" customWidth="1"/>
    <col min="8708" max="8708" width="9.26953125" style="1" customWidth="1"/>
    <col min="8709" max="8709" width="10.453125" style="1" customWidth="1"/>
    <col min="8710" max="8710" width="11.54296875" style="1" customWidth="1"/>
    <col min="8711" max="8711" width="10.26953125" style="1" customWidth="1"/>
    <col min="8712" max="8712" width="14.7265625" style="1" customWidth="1"/>
    <col min="8713" max="8714" width="0" style="1" hidden="1" customWidth="1"/>
    <col min="8715" max="8717" width="9.1796875" style="1" customWidth="1"/>
    <col min="8718" max="8718" width="14.7265625" style="1" customWidth="1"/>
    <col min="8719" max="8724" width="0" style="1" hidden="1" customWidth="1"/>
    <col min="8725" max="8960" width="9.1796875" style="1"/>
    <col min="8961" max="8961" width="5.26953125" style="1" customWidth="1"/>
    <col min="8962" max="8962" width="62.453125" style="1" customWidth="1"/>
    <col min="8963" max="8963" width="10" style="1" customWidth="1"/>
    <col min="8964" max="8964" width="9.26953125" style="1" customWidth="1"/>
    <col min="8965" max="8965" width="10.453125" style="1" customWidth="1"/>
    <col min="8966" max="8966" width="11.54296875" style="1" customWidth="1"/>
    <col min="8967" max="8967" width="10.26953125" style="1" customWidth="1"/>
    <col min="8968" max="8968" width="14.7265625" style="1" customWidth="1"/>
    <col min="8969" max="8970" width="0" style="1" hidden="1" customWidth="1"/>
    <col min="8971" max="8973" width="9.1796875" style="1" customWidth="1"/>
    <col min="8974" max="8974" width="14.7265625" style="1" customWidth="1"/>
    <col min="8975" max="8980" width="0" style="1" hidden="1" customWidth="1"/>
    <col min="8981" max="9216" width="9.1796875" style="1"/>
    <col min="9217" max="9217" width="5.26953125" style="1" customWidth="1"/>
    <col min="9218" max="9218" width="62.453125" style="1" customWidth="1"/>
    <col min="9219" max="9219" width="10" style="1" customWidth="1"/>
    <col min="9220" max="9220" width="9.26953125" style="1" customWidth="1"/>
    <col min="9221" max="9221" width="10.453125" style="1" customWidth="1"/>
    <col min="9222" max="9222" width="11.54296875" style="1" customWidth="1"/>
    <col min="9223" max="9223" width="10.26953125" style="1" customWidth="1"/>
    <col min="9224" max="9224" width="14.7265625" style="1" customWidth="1"/>
    <col min="9225" max="9226" width="0" style="1" hidden="1" customWidth="1"/>
    <col min="9227" max="9229" width="9.1796875" style="1" customWidth="1"/>
    <col min="9230" max="9230" width="14.7265625" style="1" customWidth="1"/>
    <col min="9231" max="9236" width="0" style="1" hidden="1" customWidth="1"/>
    <col min="9237" max="9472" width="9.1796875" style="1"/>
    <col min="9473" max="9473" width="5.26953125" style="1" customWidth="1"/>
    <col min="9474" max="9474" width="62.453125" style="1" customWidth="1"/>
    <col min="9475" max="9475" width="10" style="1" customWidth="1"/>
    <col min="9476" max="9476" width="9.26953125" style="1" customWidth="1"/>
    <col min="9477" max="9477" width="10.453125" style="1" customWidth="1"/>
    <col min="9478" max="9478" width="11.54296875" style="1" customWidth="1"/>
    <col min="9479" max="9479" width="10.26953125" style="1" customWidth="1"/>
    <col min="9480" max="9480" width="14.7265625" style="1" customWidth="1"/>
    <col min="9481" max="9482" width="0" style="1" hidden="1" customWidth="1"/>
    <col min="9483" max="9485" width="9.1796875" style="1" customWidth="1"/>
    <col min="9486" max="9486" width="14.7265625" style="1" customWidth="1"/>
    <col min="9487" max="9492" width="0" style="1" hidden="1" customWidth="1"/>
    <col min="9493" max="9728" width="9.1796875" style="1"/>
    <col min="9729" max="9729" width="5.26953125" style="1" customWidth="1"/>
    <col min="9730" max="9730" width="62.453125" style="1" customWidth="1"/>
    <col min="9731" max="9731" width="10" style="1" customWidth="1"/>
    <col min="9732" max="9732" width="9.26953125" style="1" customWidth="1"/>
    <col min="9733" max="9733" width="10.453125" style="1" customWidth="1"/>
    <col min="9734" max="9734" width="11.54296875" style="1" customWidth="1"/>
    <col min="9735" max="9735" width="10.26953125" style="1" customWidth="1"/>
    <col min="9736" max="9736" width="14.7265625" style="1" customWidth="1"/>
    <col min="9737" max="9738" width="0" style="1" hidden="1" customWidth="1"/>
    <col min="9739" max="9741" width="9.1796875" style="1" customWidth="1"/>
    <col min="9742" max="9742" width="14.7265625" style="1" customWidth="1"/>
    <col min="9743" max="9748" width="0" style="1" hidden="1" customWidth="1"/>
    <col min="9749" max="9984" width="9.1796875" style="1"/>
    <col min="9985" max="9985" width="5.26953125" style="1" customWidth="1"/>
    <col min="9986" max="9986" width="62.453125" style="1" customWidth="1"/>
    <col min="9987" max="9987" width="10" style="1" customWidth="1"/>
    <col min="9988" max="9988" width="9.26953125" style="1" customWidth="1"/>
    <col min="9989" max="9989" width="10.453125" style="1" customWidth="1"/>
    <col min="9990" max="9990" width="11.54296875" style="1" customWidth="1"/>
    <col min="9991" max="9991" width="10.26953125" style="1" customWidth="1"/>
    <col min="9992" max="9992" width="14.7265625" style="1" customWidth="1"/>
    <col min="9993" max="9994" width="0" style="1" hidden="1" customWidth="1"/>
    <col min="9995" max="9997" width="9.1796875" style="1" customWidth="1"/>
    <col min="9998" max="9998" width="14.7265625" style="1" customWidth="1"/>
    <col min="9999" max="10004" width="0" style="1" hidden="1" customWidth="1"/>
    <col min="10005" max="10240" width="9.1796875" style="1"/>
    <col min="10241" max="10241" width="5.26953125" style="1" customWidth="1"/>
    <col min="10242" max="10242" width="62.453125" style="1" customWidth="1"/>
    <col min="10243" max="10243" width="10" style="1" customWidth="1"/>
    <col min="10244" max="10244" width="9.26953125" style="1" customWidth="1"/>
    <col min="10245" max="10245" width="10.453125" style="1" customWidth="1"/>
    <col min="10246" max="10246" width="11.54296875" style="1" customWidth="1"/>
    <col min="10247" max="10247" width="10.26953125" style="1" customWidth="1"/>
    <col min="10248" max="10248" width="14.7265625" style="1" customWidth="1"/>
    <col min="10249" max="10250" width="0" style="1" hidden="1" customWidth="1"/>
    <col min="10251" max="10253" width="9.1796875" style="1" customWidth="1"/>
    <col min="10254" max="10254" width="14.7265625" style="1" customWidth="1"/>
    <col min="10255" max="10260" width="0" style="1" hidden="1" customWidth="1"/>
    <col min="10261" max="10496" width="9.1796875" style="1"/>
    <col min="10497" max="10497" width="5.26953125" style="1" customWidth="1"/>
    <col min="10498" max="10498" width="62.453125" style="1" customWidth="1"/>
    <col min="10499" max="10499" width="10" style="1" customWidth="1"/>
    <col min="10500" max="10500" width="9.26953125" style="1" customWidth="1"/>
    <col min="10501" max="10501" width="10.453125" style="1" customWidth="1"/>
    <col min="10502" max="10502" width="11.54296875" style="1" customWidth="1"/>
    <col min="10503" max="10503" width="10.26953125" style="1" customWidth="1"/>
    <col min="10504" max="10504" width="14.7265625" style="1" customWidth="1"/>
    <col min="10505" max="10506" width="0" style="1" hidden="1" customWidth="1"/>
    <col min="10507" max="10509" width="9.1796875" style="1" customWidth="1"/>
    <col min="10510" max="10510" width="14.7265625" style="1" customWidth="1"/>
    <col min="10511" max="10516" width="0" style="1" hidden="1" customWidth="1"/>
    <col min="10517" max="10752" width="9.1796875" style="1"/>
    <col min="10753" max="10753" width="5.26953125" style="1" customWidth="1"/>
    <col min="10754" max="10754" width="62.453125" style="1" customWidth="1"/>
    <col min="10755" max="10755" width="10" style="1" customWidth="1"/>
    <col min="10756" max="10756" width="9.26953125" style="1" customWidth="1"/>
    <col min="10757" max="10757" width="10.453125" style="1" customWidth="1"/>
    <col min="10758" max="10758" width="11.54296875" style="1" customWidth="1"/>
    <col min="10759" max="10759" width="10.26953125" style="1" customWidth="1"/>
    <col min="10760" max="10760" width="14.7265625" style="1" customWidth="1"/>
    <col min="10761" max="10762" width="0" style="1" hidden="1" customWidth="1"/>
    <col min="10763" max="10765" width="9.1796875" style="1" customWidth="1"/>
    <col min="10766" max="10766" width="14.7265625" style="1" customWidth="1"/>
    <col min="10767" max="10772" width="0" style="1" hidden="1" customWidth="1"/>
    <col min="10773" max="11008" width="9.1796875" style="1"/>
    <col min="11009" max="11009" width="5.26953125" style="1" customWidth="1"/>
    <col min="11010" max="11010" width="62.453125" style="1" customWidth="1"/>
    <col min="11011" max="11011" width="10" style="1" customWidth="1"/>
    <col min="11012" max="11012" width="9.26953125" style="1" customWidth="1"/>
    <col min="11013" max="11013" width="10.453125" style="1" customWidth="1"/>
    <col min="11014" max="11014" width="11.54296875" style="1" customWidth="1"/>
    <col min="11015" max="11015" width="10.26953125" style="1" customWidth="1"/>
    <col min="11016" max="11016" width="14.7265625" style="1" customWidth="1"/>
    <col min="11017" max="11018" width="0" style="1" hidden="1" customWidth="1"/>
    <col min="11019" max="11021" width="9.1796875" style="1" customWidth="1"/>
    <col min="11022" max="11022" width="14.7265625" style="1" customWidth="1"/>
    <col min="11023" max="11028" width="0" style="1" hidden="1" customWidth="1"/>
    <col min="11029" max="11264" width="9.1796875" style="1"/>
    <col min="11265" max="11265" width="5.26953125" style="1" customWidth="1"/>
    <col min="11266" max="11266" width="62.453125" style="1" customWidth="1"/>
    <col min="11267" max="11267" width="10" style="1" customWidth="1"/>
    <col min="11268" max="11268" width="9.26953125" style="1" customWidth="1"/>
    <col min="11269" max="11269" width="10.453125" style="1" customWidth="1"/>
    <col min="11270" max="11270" width="11.54296875" style="1" customWidth="1"/>
    <col min="11271" max="11271" width="10.26953125" style="1" customWidth="1"/>
    <col min="11272" max="11272" width="14.7265625" style="1" customWidth="1"/>
    <col min="11273" max="11274" width="0" style="1" hidden="1" customWidth="1"/>
    <col min="11275" max="11277" width="9.1796875" style="1" customWidth="1"/>
    <col min="11278" max="11278" width="14.7265625" style="1" customWidth="1"/>
    <col min="11279" max="11284" width="0" style="1" hidden="1" customWidth="1"/>
    <col min="11285" max="11520" width="9.1796875" style="1"/>
    <col min="11521" max="11521" width="5.26953125" style="1" customWidth="1"/>
    <col min="11522" max="11522" width="62.453125" style="1" customWidth="1"/>
    <col min="11523" max="11523" width="10" style="1" customWidth="1"/>
    <col min="11524" max="11524" width="9.26953125" style="1" customWidth="1"/>
    <col min="11525" max="11525" width="10.453125" style="1" customWidth="1"/>
    <col min="11526" max="11526" width="11.54296875" style="1" customWidth="1"/>
    <col min="11527" max="11527" width="10.26953125" style="1" customWidth="1"/>
    <col min="11528" max="11528" width="14.7265625" style="1" customWidth="1"/>
    <col min="11529" max="11530" width="0" style="1" hidden="1" customWidth="1"/>
    <col min="11531" max="11533" width="9.1796875" style="1" customWidth="1"/>
    <col min="11534" max="11534" width="14.7265625" style="1" customWidth="1"/>
    <col min="11535" max="11540" width="0" style="1" hidden="1" customWidth="1"/>
    <col min="11541" max="11776" width="9.1796875" style="1"/>
    <col min="11777" max="11777" width="5.26953125" style="1" customWidth="1"/>
    <col min="11778" max="11778" width="62.453125" style="1" customWidth="1"/>
    <col min="11779" max="11779" width="10" style="1" customWidth="1"/>
    <col min="11780" max="11780" width="9.26953125" style="1" customWidth="1"/>
    <col min="11781" max="11781" width="10.453125" style="1" customWidth="1"/>
    <col min="11782" max="11782" width="11.54296875" style="1" customWidth="1"/>
    <col min="11783" max="11783" width="10.26953125" style="1" customWidth="1"/>
    <col min="11784" max="11784" width="14.7265625" style="1" customWidth="1"/>
    <col min="11785" max="11786" width="0" style="1" hidden="1" customWidth="1"/>
    <col min="11787" max="11789" width="9.1796875" style="1" customWidth="1"/>
    <col min="11790" max="11790" width="14.7265625" style="1" customWidth="1"/>
    <col min="11791" max="11796" width="0" style="1" hidden="1" customWidth="1"/>
    <col min="11797" max="12032" width="9.1796875" style="1"/>
    <col min="12033" max="12033" width="5.26953125" style="1" customWidth="1"/>
    <col min="12034" max="12034" width="62.453125" style="1" customWidth="1"/>
    <col min="12035" max="12035" width="10" style="1" customWidth="1"/>
    <col min="12036" max="12036" width="9.26953125" style="1" customWidth="1"/>
    <col min="12037" max="12037" width="10.453125" style="1" customWidth="1"/>
    <col min="12038" max="12038" width="11.54296875" style="1" customWidth="1"/>
    <col min="12039" max="12039" width="10.26953125" style="1" customWidth="1"/>
    <col min="12040" max="12040" width="14.7265625" style="1" customWidth="1"/>
    <col min="12041" max="12042" width="0" style="1" hidden="1" customWidth="1"/>
    <col min="12043" max="12045" width="9.1796875" style="1" customWidth="1"/>
    <col min="12046" max="12046" width="14.7265625" style="1" customWidth="1"/>
    <col min="12047" max="12052" width="0" style="1" hidden="1" customWidth="1"/>
    <col min="12053" max="12288" width="9.1796875" style="1"/>
    <col min="12289" max="12289" width="5.26953125" style="1" customWidth="1"/>
    <col min="12290" max="12290" width="62.453125" style="1" customWidth="1"/>
    <col min="12291" max="12291" width="10" style="1" customWidth="1"/>
    <col min="12292" max="12292" width="9.26953125" style="1" customWidth="1"/>
    <col min="12293" max="12293" width="10.453125" style="1" customWidth="1"/>
    <col min="12294" max="12294" width="11.54296875" style="1" customWidth="1"/>
    <col min="12295" max="12295" width="10.26953125" style="1" customWidth="1"/>
    <col min="12296" max="12296" width="14.7265625" style="1" customWidth="1"/>
    <col min="12297" max="12298" width="0" style="1" hidden="1" customWidth="1"/>
    <col min="12299" max="12301" width="9.1796875" style="1" customWidth="1"/>
    <col min="12302" max="12302" width="14.7265625" style="1" customWidth="1"/>
    <col min="12303" max="12308" width="0" style="1" hidden="1" customWidth="1"/>
    <col min="12309" max="12544" width="9.1796875" style="1"/>
    <col min="12545" max="12545" width="5.26953125" style="1" customWidth="1"/>
    <col min="12546" max="12546" width="62.453125" style="1" customWidth="1"/>
    <col min="12547" max="12547" width="10" style="1" customWidth="1"/>
    <col min="12548" max="12548" width="9.26953125" style="1" customWidth="1"/>
    <col min="12549" max="12549" width="10.453125" style="1" customWidth="1"/>
    <col min="12550" max="12550" width="11.54296875" style="1" customWidth="1"/>
    <col min="12551" max="12551" width="10.26953125" style="1" customWidth="1"/>
    <col min="12552" max="12552" width="14.7265625" style="1" customWidth="1"/>
    <col min="12553" max="12554" width="0" style="1" hidden="1" customWidth="1"/>
    <col min="12555" max="12557" width="9.1796875" style="1" customWidth="1"/>
    <col min="12558" max="12558" width="14.7265625" style="1" customWidth="1"/>
    <col min="12559" max="12564" width="0" style="1" hidden="1" customWidth="1"/>
    <col min="12565" max="12800" width="9.1796875" style="1"/>
    <col min="12801" max="12801" width="5.26953125" style="1" customWidth="1"/>
    <col min="12802" max="12802" width="62.453125" style="1" customWidth="1"/>
    <col min="12803" max="12803" width="10" style="1" customWidth="1"/>
    <col min="12804" max="12804" width="9.26953125" style="1" customWidth="1"/>
    <col min="12805" max="12805" width="10.453125" style="1" customWidth="1"/>
    <col min="12806" max="12806" width="11.54296875" style="1" customWidth="1"/>
    <col min="12807" max="12807" width="10.26953125" style="1" customWidth="1"/>
    <col min="12808" max="12808" width="14.7265625" style="1" customWidth="1"/>
    <col min="12809" max="12810" width="0" style="1" hidden="1" customWidth="1"/>
    <col min="12811" max="12813" width="9.1796875" style="1" customWidth="1"/>
    <col min="12814" max="12814" width="14.7265625" style="1" customWidth="1"/>
    <col min="12815" max="12820" width="0" style="1" hidden="1" customWidth="1"/>
    <col min="12821" max="13056" width="9.1796875" style="1"/>
    <col min="13057" max="13057" width="5.26953125" style="1" customWidth="1"/>
    <col min="13058" max="13058" width="62.453125" style="1" customWidth="1"/>
    <col min="13059" max="13059" width="10" style="1" customWidth="1"/>
    <col min="13060" max="13060" width="9.26953125" style="1" customWidth="1"/>
    <col min="13061" max="13061" width="10.453125" style="1" customWidth="1"/>
    <col min="13062" max="13062" width="11.54296875" style="1" customWidth="1"/>
    <col min="13063" max="13063" width="10.26953125" style="1" customWidth="1"/>
    <col min="13064" max="13064" width="14.7265625" style="1" customWidth="1"/>
    <col min="13065" max="13066" width="0" style="1" hidden="1" customWidth="1"/>
    <col min="13067" max="13069" width="9.1796875" style="1" customWidth="1"/>
    <col min="13070" max="13070" width="14.7265625" style="1" customWidth="1"/>
    <col min="13071" max="13076" width="0" style="1" hidden="1" customWidth="1"/>
    <col min="13077" max="13312" width="9.1796875" style="1"/>
    <col min="13313" max="13313" width="5.26953125" style="1" customWidth="1"/>
    <col min="13314" max="13314" width="62.453125" style="1" customWidth="1"/>
    <col min="13315" max="13315" width="10" style="1" customWidth="1"/>
    <col min="13316" max="13316" width="9.26953125" style="1" customWidth="1"/>
    <col min="13317" max="13317" width="10.453125" style="1" customWidth="1"/>
    <col min="13318" max="13318" width="11.54296875" style="1" customWidth="1"/>
    <col min="13319" max="13319" width="10.26953125" style="1" customWidth="1"/>
    <col min="13320" max="13320" width="14.7265625" style="1" customWidth="1"/>
    <col min="13321" max="13322" width="0" style="1" hidden="1" customWidth="1"/>
    <col min="13323" max="13325" width="9.1796875" style="1" customWidth="1"/>
    <col min="13326" max="13326" width="14.7265625" style="1" customWidth="1"/>
    <col min="13327" max="13332" width="0" style="1" hidden="1" customWidth="1"/>
    <col min="13333" max="13568" width="9.1796875" style="1"/>
    <col min="13569" max="13569" width="5.26953125" style="1" customWidth="1"/>
    <col min="13570" max="13570" width="62.453125" style="1" customWidth="1"/>
    <col min="13571" max="13571" width="10" style="1" customWidth="1"/>
    <col min="13572" max="13572" width="9.26953125" style="1" customWidth="1"/>
    <col min="13573" max="13573" width="10.453125" style="1" customWidth="1"/>
    <col min="13574" max="13574" width="11.54296875" style="1" customWidth="1"/>
    <col min="13575" max="13575" width="10.26953125" style="1" customWidth="1"/>
    <col min="13576" max="13576" width="14.7265625" style="1" customWidth="1"/>
    <col min="13577" max="13578" width="0" style="1" hidden="1" customWidth="1"/>
    <col min="13579" max="13581" width="9.1796875" style="1" customWidth="1"/>
    <col min="13582" max="13582" width="14.7265625" style="1" customWidth="1"/>
    <col min="13583" max="13588" width="0" style="1" hidden="1" customWidth="1"/>
    <col min="13589" max="13824" width="9.1796875" style="1"/>
    <col min="13825" max="13825" width="5.26953125" style="1" customWidth="1"/>
    <col min="13826" max="13826" width="62.453125" style="1" customWidth="1"/>
    <col min="13827" max="13827" width="10" style="1" customWidth="1"/>
    <col min="13828" max="13828" width="9.26953125" style="1" customWidth="1"/>
    <col min="13829" max="13829" width="10.453125" style="1" customWidth="1"/>
    <col min="13830" max="13830" width="11.54296875" style="1" customWidth="1"/>
    <col min="13831" max="13831" width="10.26953125" style="1" customWidth="1"/>
    <col min="13832" max="13832" width="14.7265625" style="1" customWidth="1"/>
    <col min="13833" max="13834" width="0" style="1" hidden="1" customWidth="1"/>
    <col min="13835" max="13837" width="9.1796875" style="1" customWidth="1"/>
    <col min="13838" max="13838" width="14.7265625" style="1" customWidth="1"/>
    <col min="13839" max="13844" width="0" style="1" hidden="1" customWidth="1"/>
    <col min="13845" max="14080" width="9.1796875" style="1"/>
    <col min="14081" max="14081" width="5.26953125" style="1" customWidth="1"/>
    <col min="14082" max="14082" width="62.453125" style="1" customWidth="1"/>
    <col min="14083" max="14083" width="10" style="1" customWidth="1"/>
    <col min="14084" max="14084" width="9.26953125" style="1" customWidth="1"/>
    <col min="14085" max="14085" width="10.453125" style="1" customWidth="1"/>
    <col min="14086" max="14086" width="11.54296875" style="1" customWidth="1"/>
    <col min="14087" max="14087" width="10.26953125" style="1" customWidth="1"/>
    <col min="14088" max="14088" width="14.7265625" style="1" customWidth="1"/>
    <col min="14089" max="14090" width="0" style="1" hidden="1" customWidth="1"/>
    <col min="14091" max="14093" width="9.1796875" style="1" customWidth="1"/>
    <col min="14094" max="14094" width="14.7265625" style="1" customWidth="1"/>
    <col min="14095" max="14100" width="0" style="1" hidden="1" customWidth="1"/>
    <col min="14101" max="14336" width="9.1796875" style="1"/>
    <col min="14337" max="14337" width="5.26953125" style="1" customWidth="1"/>
    <col min="14338" max="14338" width="62.453125" style="1" customWidth="1"/>
    <col min="14339" max="14339" width="10" style="1" customWidth="1"/>
    <col min="14340" max="14340" width="9.26953125" style="1" customWidth="1"/>
    <col min="14341" max="14341" width="10.453125" style="1" customWidth="1"/>
    <col min="14342" max="14342" width="11.54296875" style="1" customWidth="1"/>
    <col min="14343" max="14343" width="10.26953125" style="1" customWidth="1"/>
    <col min="14344" max="14344" width="14.7265625" style="1" customWidth="1"/>
    <col min="14345" max="14346" width="0" style="1" hidden="1" customWidth="1"/>
    <col min="14347" max="14349" width="9.1796875" style="1" customWidth="1"/>
    <col min="14350" max="14350" width="14.7265625" style="1" customWidth="1"/>
    <col min="14351" max="14356" width="0" style="1" hidden="1" customWidth="1"/>
    <col min="14357" max="14592" width="9.1796875" style="1"/>
    <col min="14593" max="14593" width="5.26953125" style="1" customWidth="1"/>
    <col min="14594" max="14594" width="62.453125" style="1" customWidth="1"/>
    <col min="14595" max="14595" width="10" style="1" customWidth="1"/>
    <col min="14596" max="14596" width="9.26953125" style="1" customWidth="1"/>
    <col min="14597" max="14597" width="10.453125" style="1" customWidth="1"/>
    <col min="14598" max="14598" width="11.54296875" style="1" customWidth="1"/>
    <col min="14599" max="14599" width="10.26953125" style="1" customWidth="1"/>
    <col min="14600" max="14600" width="14.7265625" style="1" customWidth="1"/>
    <col min="14601" max="14602" width="0" style="1" hidden="1" customWidth="1"/>
    <col min="14603" max="14605" width="9.1796875" style="1" customWidth="1"/>
    <col min="14606" max="14606" width="14.7265625" style="1" customWidth="1"/>
    <col min="14607" max="14612" width="0" style="1" hidden="1" customWidth="1"/>
    <col min="14613" max="14848" width="9.1796875" style="1"/>
    <col min="14849" max="14849" width="5.26953125" style="1" customWidth="1"/>
    <col min="14850" max="14850" width="62.453125" style="1" customWidth="1"/>
    <col min="14851" max="14851" width="10" style="1" customWidth="1"/>
    <col min="14852" max="14852" width="9.26953125" style="1" customWidth="1"/>
    <col min="14853" max="14853" width="10.453125" style="1" customWidth="1"/>
    <col min="14854" max="14854" width="11.54296875" style="1" customWidth="1"/>
    <col min="14855" max="14855" width="10.26953125" style="1" customWidth="1"/>
    <col min="14856" max="14856" width="14.7265625" style="1" customWidth="1"/>
    <col min="14857" max="14858" width="0" style="1" hidden="1" customWidth="1"/>
    <col min="14859" max="14861" width="9.1796875" style="1" customWidth="1"/>
    <col min="14862" max="14862" width="14.7265625" style="1" customWidth="1"/>
    <col min="14863" max="14868" width="0" style="1" hidden="1" customWidth="1"/>
    <col min="14869" max="15104" width="9.1796875" style="1"/>
    <col min="15105" max="15105" width="5.26953125" style="1" customWidth="1"/>
    <col min="15106" max="15106" width="62.453125" style="1" customWidth="1"/>
    <col min="15107" max="15107" width="10" style="1" customWidth="1"/>
    <col min="15108" max="15108" width="9.26953125" style="1" customWidth="1"/>
    <col min="15109" max="15109" width="10.453125" style="1" customWidth="1"/>
    <col min="15110" max="15110" width="11.54296875" style="1" customWidth="1"/>
    <col min="15111" max="15111" width="10.26953125" style="1" customWidth="1"/>
    <col min="15112" max="15112" width="14.7265625" style="1" customWidth="1"/>
    <col min="15113" max="15114" width="0" style="1" hidden="1" customWidth="1"/>
    <col min="15115" max="15117" width="9.1796875" style="1" customWidth="1"/>
    <col min="15118" max="15118" width="14.7265625" style="1" customWidth="1"/>
    <col min="15119" max="15124" width="0" style="1" hidden="1" customWidth="1"/>
    <col min="15125" max="15360" width="9.1796875" style="1"/>
    <col min="15361" max="15361" width="5.26953125" style="1" customWidth="1"/>
    <col min="15362" max="15362" width="62.453125" style="1" customWidth="1"/>
    <col min="15363" max="15363" width="10" style="1" customWidth="1"/>
    <col min="15364" max="15364" width="9.26953125" style="1" customWidth="1"/>
    <col min="15365" max="15365" width="10.453125" style="1" customWidth="1"/>
    <col min="15366" max="15366" width="11.54296875" style="1" customWidth="1"/>
    <col min="15367" max="15367" width="10.26953125" style="1" customWidth="1"/>
    <col min="15368" max="15368" width="14.7265625" style="1" customWidth="1"/>
    <col min="15369" max="15370" width="0" style="1" hidden="1" customWidth="1"/>
    <col min="15371" max="15373" width="9.1796875" style="1" customWidth="1"/>
    <col min="15374" max="15374" width="14.7265625" style="1" customWidth="1"/>
    <col min="15375" max="15380" width="0" style="1" hidden="1" customWidth="1"/>
    <col min="15381" max="15616" width="9.1796875" style="1"/>
    <col min="15617" max="15617" width="5.26953125" style="1" customWidth="1"/>
    <col min="15618" max="15618" width="62.453125" style="1" customWidth="1"/>
    <col min="15619" max="15619" width="10" style="1" customWidth="1"/>
    <col min="15620" max="15620" width="9.26953125" style="1" customWidth="1"/>
    <col min="15621" max="15621" width="10.453125" style="1" customWidth="1"/>
    <col min="15622" max="15622" width="11.54296875" style="1" customWidth="1"/>
    <col min="15623" max="15623" width="10.26953125" style="1" customWidth="1"/>
    <col min="15624" max="15624" width="14.7265625" style="1" customWidth="1"/>
    <col min="15625" max="15626" width="0" style="1" hidden="1" customWidth="1"/>
    <col min="15627" max="15629" width="9.1796875" style="1" customWidth="1"/>
    <col min="15630" max="15630" width="14.7265625" style="1" customWidth="1"/>
    <col min="15631" max="15636" width="0" style="1" hidden="1" customWidth="1"/>
    <col min="15637" max="15872" width="9.1796875" style="1"/>
    <col min="15873" max="15873" width="5.26953125" style="1" customWidth="1"/>
    <col min="15874" max="15874" width="62.453125" style="1" customWidth="1"/>
    <col min="15875" max="15875" width="10" style="1" customWidth="1"/>
    <col min="15876" max="15876" width="9.26953125" style="1" customWidth="1"/>
    <col min="15877" max="15877" width="10.453125" style="1" customWidth="1"/>
    <col min="15878" max="15878" width="11.54296875" style="1" customWidth="1"/>
    <col min="15879" max="15879" width="10.26953125" style="1" customWidth="1"/>
    <col min="15880" max="15880" width="14.7265625" style="1" customWidth="1"/>
    <col min="15881" max="15882" width="0" style="1" hidden="1" customWidth="1"/>
    <col min="15883" max="15885" width="9.1796875" style="1" customWidth="1"/>
    <col min="15886" max="15886" width="14.7265625" style="1" customWidth="1"/>
    <col min="15887" max="15892" width="0" style="1" hidden="1" customWidth="1"/>
    <col min="15893" max="16128" width="9.1796875" style="1"/>
    <col min="16129" max="16129" width="5.26953125" style="1" customWidth="1"/>
    <col min="16130" max="16130" width="62.453125" style="1" customWidth="1"/>
    <col min="16131" max="16131" width="10" style="1" customWidth="1"/>
    <col min="16132" max="16132" width="9.26953125" style="1" customWidth="1"/>
    <col min="16133" max="16133" width="10.453125" style="1" customWidth="1"/>
    <col min="16134" max="16134" width="11.54296875" style="1" customWidth="1"/>
    <col min="16135" max="16135" width="10.26953125" style="1" customWidth="1"/>
    <col min="16136" max="16136" width="14.7265625" style="1" customWidth="1"/>
    <col min="16137" max="16138" width="0" style="1" hidden="1" customWidth="1"/>
    <col min="16139" max="16141" width="9.1796875" style="1" customWidth="1"/>
    <col min="16142" max="16142" width="14.7265625" style="1" customWidth="1"/>
    <col min="16143" max="16148" width="0" style="1" hidden="1" customWidth="1"/>
    <col min="16149" max="16384" width="9.1796875" style="1"/>
  </cols>
  <sheetData>
    <row r="1" spans="1:18" ht="15.5" x14ac:dyDescent="0.3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5" x14ac:dyDescent="0.3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5" x14ac:dyDescent="0.3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5" x14ac:dyDescent="0.3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5" x14ac:dyDescent="0.25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5" x14ac:dyDescent="0.35">
      <c r="I6" s="4"/>
      <c r="J6" s="4"/>
      <c r="K6" s="4"/>
      <c r="L6" s="4"/>
      <c r="M6" s="263"/>
      <c r="O6" s="870"/>
      <c r="P6" s="870"/>
      <c r="Q6" s="870"/>
      <c r="R6" s="870"/>
    </row>
    <row r="7" spans="1:18" ht="15.5" hidden="1" x14ac:dyDescent="0.3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5" hidden="1" x14ac:dyDescent="0.3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ht="13" x14ac:dyDescent="0.3">
      <c r="G11" s="392"/>
      <c r="H11" s="393"/>
      <c r="I11" s="394">
        <v>3685.4</v>
      </c>
      <c r="N11" s="393"/>
    </row>
    <row r="12" spans="1:18" ht="15.5" x14ac:dyDescent="0.3">
      <c r="B12" s="2727"/>
      <c r="C12" s="2727"/>
      <c r="D12" s="2727"/>
      <c r="E12" s="2727"/>
      <c r="F12" s="2727"/>
      <c r="G12" s="2727"/>
      <c r="H12" s="2727"/>
      <c r="I12" s="395" t="e">
        <f>I10-I11-#REF!</f>
        <v>#REF!</v>
      </c>
      <c r="N12" s="1"/>
    </row>
    <row r="13" spans="1:18" ht="15.65" customHeight="1" x14ac:dyDescent="0.25">
      <c r="A13" s="2728" t="s">
        <v>614</v>
      </c>
      <c r="B13" s="2728"/>
      <c r="C13" s="2728"/>
      <c r="D13" s="2728"/>
      <c r="E13" s="2728"/>
      <c r="F13" s="2728"/>
      <c r="G13" s="2728"/>
      <c r="H13" s="2728"/>
      <c r="I13" s="1"/>
      <c r="N13" s="1"/>
    </row>
    <row r="14" spans="1:18" ht="15.65" customHeight="1" x14ac:dyDescent="0.25">
      <c r="A14" s="2728" t="s">
        <v>613</v>
      </c>
      <c r="B14" s="2728"/>
      <c r="C14" s="2728"/>
      <c r="D14" s="2728"/>
      <c r="E14" s="2728"/>
      <c r="F14" s="2728"/>
      <c r="G14" s="2728"/>
      <c r="H14" s="2728"/>
      <c r="I14" s="1"/>
      <c r="N14" s="1"/>
    </row>
    <row r="15" spans="1:18" ht="15" customHeight="1" x14ac:dyDescent="0.25">
      <c r="A15" s="2728" t="s">
        <v>901</v>
      </c>
      <c r="B15" s="2728"/>
      <c r="C15" s="2728"/>
      <c r="D15" s="2728"/>
      <c r="E15" s="2728"/>
      <c r="F15" s="2728"/>
      <c r="G15" s="2728"/>
      <c r="H15" s="2728"/>
      <c r="I15" s="1"/>
      <c r="N15" s="1"/>
    </row>
    <row r="16" spans="1:18" ht="16" thickBot="1" x14ac:dyDescent="0.4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13" thickBot="1" x14ac:dyDescent="0.3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3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1.5" hidden="1" thickBot="1" x14ac:dyDescent="0.3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1.5" thickBot="1" x14ac:dyDescent="0.3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1" hidden="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0" hidden="1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0" hidden="1" x14ac:dyDescent="0.25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0" hidden="1" x14ac:dyDescent="0.25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idden="1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1" x14ac:dyDescent="0.25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5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0" x14ac:dyDescent="0.25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5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0" x14ac:dyDescent="0.25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x14ac:dyDescent="0.25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5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5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1.5" x14ac:dyDescent="0.25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0" x14ac:dyDescent="0.25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0" x14ac:dyDescent="0.25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5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5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x14ac:dyDescent="0.25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0.5" thickBot="1" x14ac:dyDescent="0.3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0" hidden="1" x14ac:dyDescent="0.25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5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0" hidden="1" x14ac:dyDescent="0.25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idden="1" x14ac:dyDescent="0.25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0" hidden="1" x14ac:dyDescent="0.25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0" hidden="1" x14ac:dyDescent="0.25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0" hidden="1" x14ac:dyDescent="0.25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5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20" hidden="1" x14ac:dyDescent="0.25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" hidden="1" thickBot="1" x14ac:dyDescent="0.3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1.5" thickBot="1" x14ac:dyDescent="0.3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5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1.5" x14ac:dyDescent="0.25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0" x14ac:dyDescent="0.25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0" x14ac:dyDescent="0.25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5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ht="13" x14ac:dyDescent="0.25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x14ac:dyDescent="0.25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0" x14ac:dyDescent="0.25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20.5" x14ac:dyDescent="0.25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5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20" x14ac:dyDescent="0.25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5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0" hidden="1" x14ac:dyDescent="0.25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5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30" x14ac:dyDescent="0.25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5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0" x14ac:dyDescent="0.25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x14ac:dyDescent="0.25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1" x14ac:dyDescent="0.3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0" x14ac:dyDescent="0.25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0" x14ac:dyDescent="0.25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5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20" x14ac:dyDescent="0.25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5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t="13" hidden="1" x14ac:dyDescent="0.3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21" hidden="1" x14ac:dyDescent="0.25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5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5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20" hidden="1" x14ac:dyDescent="0.25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0" hidden="1" x14ac:dyDescent="0.25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5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20" x14ac:dyDescent="0.25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5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5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0" x14ac:dyDescent="0.25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5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5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x14ac:dyDescent="0.25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5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5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5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0" x14ac:dyDescent="0.25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5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0" hidden="1" x14ac:dyDescent="0.25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0" hidden="1" x14ac:dyDescent="0.25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5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5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0" hidden="1" x14ac:dyDescent="0.25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20.5" hidden="1" x14ac:dyDescent="0.25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5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2" hidden="1" x14ac:dyDescent="0.25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idden="1" x14ac:dyDescent="0.25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0" hidden="1" x14ac:dyDescent="0.25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5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5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1" x14ac:dyDescent="0.25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5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5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0" x14ac:dyDescent="0.25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x14ac:dyDescent="0.25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0" x14ac:dyDescent="0.25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5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1" x14ac:dyDescent="0.25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20" x14ac:dyDescent="0.25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0" x14ac:dyDescent="0.25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20" x14ac:dyDescent="0.25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0" x14ac:dyDescent="0.25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0" x14ac:dyDescent="0.25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5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0" hidden="1" x14ac:dyDescent="0.25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5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0" hidden="1" x14ac:dyDescent="0.25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5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5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0" x14ac:dyDescent="0.25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0" hidden="1" x14ac:dyDescent="0.25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5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0" x14ac:dyDescent="0.25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ht="13" x14ac:dyDescent="0.25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0" x14ac:dyDescent="0.25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5" customHeight="1" x14ac:dyDescent="0.25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0" x14ac:dyDescent="0.25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0" x14ac:dyDescent="0.25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 t="shared" ref="H136" si="9">H137</f>
        <v>632.18600000000004</v>
      </c>
      <c r="I136" s="529"/>
      <c r="J136" s="269"/>
    </row>
    <row r="137" spans="1:10" x14ac:dyDescent="0.25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10">I138</f>
        <v>0</v>
      </c>
      <c r="J137" s="276">
        <f t="shared" si="10"/>
        <v>0</v>
      </c>
    </row>
    <row r="138" spans="1:10" ht="30" x14ac:dyDescent="0.25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10"/>
        <v>0</v>
      </c>
      <c r="J138" s="269">
        <f t="shared" si="10"/>
        <v>0</v>
      </c>
    </row>
    <row r="139" spans="1:10" x14ac:dyDescent="0.25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10"/>
        <v>0</v>
      </c>
      <c r="J139" s="269">
        <f t="shared" si="10"/>
        <v>0</v>
      </c>
    </row>
    <row r="140" spans="1:10" ht="20" x14ac:dyDescent="0.25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5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5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0" x14ac:dyDescent="0.25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0" x14ac:dyDescent="0.25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0" x14ac:dyDescent="0.25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ht="13" x14ac:dyDescent="0.25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0" x14ac:dyDescent="0.25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0" x14ac:dyDescent="0.25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0" x14ac:dyDescent="0.25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6" hidden="1" x14ac:dyDescent="0.3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0" hidden="1" x14ac:dyDescent="0.25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0" x14ac:dyDescent="0.25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x14ac:dyDescent="0.25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5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0" x14ac:dyDescent="0.25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0" x14ac:dyDescent="0.25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0" x14ac:dyDescent="0.25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31.5" hidden="1" x14ac:dyDescent="0.25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0" hidden="1" x14ac:dyDescent="0.25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0" hidden="1" x14ac:dyDescent="0.25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1">H161</f>
        <v>0</v>
      </c>
      <c r="I160" s="529">
        <f t="shared" si="11"/>
        <v>0</v>
      </c>
      <c r="J160" s="269">
        <f t="shared" si="11"/>
        <v>0</v>
      </c>
    </row>
    <row r="161" spans="1:10" ht="30" hidden="1" x14ac:dyDescent="0.25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1"/>
        <v>0</v>
      </c>
      <c r="I161" s="529">
        <f t="shared" si="11"/>
        <v>0</v>
      </c>
      <c r="J161" s="269">
        <f t="shared" si="11"/>
        <v>0</v>
      </c>
    </row>
    <row r="162" spans="1:10" hidden="1" x14ac:dyDescent="0.25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0" hidden="1" x14ac:dyDescent="0.25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20" hidden="1" x14ac:dyDescent="0.25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0" hidden="1" x14ac:dyDescent="0.25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0" hidden="1" x14ac:dyDescent="0.25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0" hidden="1" x14ac:dyDescent="0.25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0" hidden="1" x14ac:dyDescent="0.25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0" hidden="1" x14ac:dyDescent="0.25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20" x14ac:dyDescent="0.25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2">H171</f>
        <v>392.1</v>
      </c>
      <c r="I170" s="841">
        <f t="shared" si="12"/>
        <v>0</v>
      </c>
      <c r="J170" s="276">
        <f t="shared" si="12"/>
        <v>0</v>
      </c>
    </row>
    <row r="171" spans="1:10" x14ac:dyDescent="0.25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2"/>
        <v>392.1</v>
      </c>
      <c r="I171" s="841">
        <f t="shared" si="12"/>
        <v>0</v>
      </c>
      <c r="J171" s="276">
        <f t="shared" si="12"/>
        <v>0</v>
      </c>
    </row>
    <row r="172" spans="1:10" x14ac:dyDescent="0.25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2"/>
        <v>0</v>
      </c>
      <c r="J172" s="276">
        <f t="shared" si="12"/>
        <v>0</v>
      </c>
    </row>
    <row r="173" spans="1:10" ht="40" x14ac:dyDescent="0.25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2"/>
        <v>392.1</v>
      </c>
      <c r="I173" s="529">
        <f t="shared" si="12"/>
        <v>0</v>
      </c>
      <c r="J173" s="269">
        <f t="shared" si="12"/>
        <v>0</v>
      </c>
    </row>
    <row r="174" spans="1:10" ht="20" x14ac:dyDescent="0.25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5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0" x14ac:dyDescent="0.25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3">H177</f>
        <v>300</v>
      </c>
      <c r="I176" s="529">
        <f t="shared" si="13"/>
        <v>315</v>
      </c>
      <c r="J176" s="270">
        <f t="shared" si="13"/>
        <v>320</v>
      </c>
    </row>
    <row r="177" spans="1:11" ht="30" x14ac:dyDescent="0.25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3"/>
        <v>300</v>
      </c>
      <c r="I177" s="529">
        <f t="shared" si="13"/>
        <v>315</v>
      </c>
      <c r="J177" s="270">
        <f t="shared" si="13"/>
        <v>320</v>
      </c>
    </row>
    <row r="178" spans="1:11" ht="20" x14ac:dyDescent="0.25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3"/>
        <v>300</v>
      </c>
      <c r="I178" s="529">
        <f t="shared" si="13"/>
        <v>315</v>
      </c>
      <c r="J178" s="270">
        <f t="shared" si="13"/>
        <v>320</v>
      </c>
    </row>
    <row r="179" spans="1:11" ht="20" x14ac:dyDescent="0.25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20" x14ac:dyDescent="0.25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4">I181</f>
        <v>0</v>
      </c>
      <c r="J180" s="270">
        <f t="shared" si="14"/>
        <v>0</v>
      </c>
    </row>
    <row r="181" spans="1:11" x14ac:dyDescent="0.25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4"/>
        <v>3094.8</v>
      </c>
      <c r="I181" s="529">
        <f t="shared" si="14"/>
        <v>0</v>
      </c>
      <c r="J181" s="270">
        <f t="shared" si="14"/>
        <v>0</v>
      </c>
    </row>
    <row r="182" spans="1:11" x14ac:dyDescent="0.25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5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0" x14ac:dyDescent="0.25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5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0" x14ac:dyDescent="0.25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5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0" x14ac:dyDescent="0.25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5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5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5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5">H192</f>
        <v>775.92</v>
      </c>
      <c r="I191" s="853">
        <f t="shared" si="15"/>
        <v>799.11500000000001</v>
      </c>
      <c r="J191" s="400">
        <f t="shared" si="15"/>
        <v>895.01</v>
      </c>
    </row>
    <row r="192" spans="1:11" ht="20" x14ac:dyDescent="0.25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5"/>
        <v>775.92</v>
      </c>
      <c r="I192" s="529">
        <f t="shared" si="15"/>
        <v>799.11500000000001</v>
      </c>
      <c r="J192" s="270">
        <f t="shared" si="15"/>
        <v>895.01</v>
      </c>
    </row>
    <row r="193" spans="1:10" x14ac:dyDescent="0.25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5"/>
        <v>775.92</v>
      </c>
      <c r="I193" s="529">
        <f t="shared" si="15"/>
        <v>799.11500000000001</v>
      </c>
      <c r="J193" s="270">
        <f t="shared" si="15"/>
        <v>895.01</v>
      </c>
    </row>
    <row r="194" spans="1:10" x14ac:dyDescent="0.25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5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0" hidden="1" x14ac:dyDescent="0.25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5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0" hidden="1" x14ac:dyDescent="0.25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5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0" x14ac:dyDescent="0.25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5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0" x14ac:dyDescent="0.25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6">H203</f>
        <v>4700</v>
      </c>
      <c r="I202" s="529">
        <f t="shared" si="16"/>
        <v>48</v>
      </c>
      <c r="J202" s="270">
        <f t="shared" si="16"/>
        <v>816.12</v>
      </c>
    </row>
    <row r="203" spans="1:10" x14ac:dyDescent="0.25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6"/>
        <v>4700</v>
      </c>
      <c r="I203" s="529">
        <f t="shared" si="16"/>
        <v>48</v>
      </c>
      <c r="J203" s="270">
        <f t="shared" si="16"/>
        <v>816.12</v>
      </c>
    </row>
    <row r="204" spans="1:10" ht="20" x14ac:dyDescent="0.25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6"/>
        <v>4700</v>
      </c>
      <c r="I204" s="529">
        <f t="shared" si="16"/>
        <v>48</v>
      </c>
      <c r="J204" s="270">
        <f t="shared" si="16"/>
        <v>816.12</v>
      </c>
    </row>
    <row r="205" spans="1:10" x14ac:dyDescent="0.25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5" customHeight="1" x14ac:dyDescent="0.25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20" x14ac:dyDescent="0.25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5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0" x14ac:dyDescent="0.25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5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0" hidden="1" x14ac:dyDescent="0.25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6" x14ac:dyDescent="0.25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0" x14ac:dyDescent="0.25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20" x14ac:dyDescent="0.25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5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7">I216</f>
        <v>0</v>
      </c>
      <c r="J215" s="270">
        <f t="shared" si="17"/>
        <v>0</v>
      </c>
    </row>
    <row r="216" spans="1:10" x14ac:dyDescent="0.25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7"/>
        <v>0</v>
      </c>
      <c r="J216" s="270">
        <f t="shared" si="17"/>
        <v>0</v>
      </c>
    </row>
    <row r="217" spans="1:10" ht="20" x14ac:dyDescent="0.25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7"/>
        <v>0</v>
      </c>
      <c r="J217" s="270">
        <f t="shared" si="17"/>
        <v>0</v>
      </c>
    </row>
    <row r="218" spans="1:10" x14ac:dyDescent="0.25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0" hidden="1" x14ac:dyDescent="0.25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0" hidden="1" x14ac:dyDescent="0.25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5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0" x14ac:dyDescent="0.25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0" x14ac:dyDescent="0.25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0" x14ac:dyDescent="0.25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0" x14ac:dyDescent="0.25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0" x14ac:dyDescent="0.25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5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2" hidden="1" x14ac:dyDescent="0.25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0" hidden="1" x14ac:dyDescent="0.25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8">I230</f>
        <v>3500</v>
      </c>
      <c r="J229" s="269">
        <f t="shared" si="18"/>
        <v>3500</v>
      </c>
    </row>
    <row r="230" spans="1:11" hidden="1" x14ac:dyDescent="0.25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8"/>
        <v>0</v>
      </c>
      <c r="I230" s="529">
        <f t="shared" si="18"/>
        <v>3500</v>
      </c>
      <c r="J230" s="269">
        <f t="shared" si="18"/>
        <v>3500</v>
      </c>
    </row>
    <row r="231" spans="1:11" hidden="1" x14ac:dyDescent="0.25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8"/>
        <v>0</v>
      </c>
      <c r="I231" s="529">
        <f t="shared" si="18"/>
        <v>3500</v>
      </c>
      <c r="J231" s="269">
        <f t="shared" si="18"/>
        <v>3500</v>
      </c>
    </row>
    <row r="232" spans="1:11" ht="20" hidden="1" x14ac:dyDescent="0.25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0" hidden="1" x14ac:dyDescent="0.25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0" hidden="1" x14ac:dyDescent="0.25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0" hidden="1" x14ac:dyDescent="0.25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0" hidden="1" x14ac:dyDescent="0.25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0" hidden="1" x14ac:dyDescent="0.25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0" hidden="1" x14ac:dyDescent="0.25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0" hidden="1" x14ac:dyDescent="0.25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5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5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0" hidden="1" x14ac:dyDescent="0.25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5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0" hidden="1" x14ac:dyDescent="0.25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0" hidden="1" x14ac:dyDescent="0.25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5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9">H247</f>
        <v>337</v>
      </c>
      <c r="I246" s="841">
        <f t="shared" si="19"/>
        <v>302</v>
      </c>
      <c r="J246" s="276">
        <f t="shared" si="19"/>
        <v>337</v>
      </c>
    </row>
    <row r="247" spans="1:14" x14ac:dyDescent="0.25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9"/>
        <v>337</v>
      </c>
      <c r="I247" s="841">
        <f t="shared" si="19"/>
        <v>302</v>
      </c>
      <c r="J247" s="276">
        <f t="shared" si="19"/>
        <v>337</v>
      </c>
    </row>
    <row r="248" spans="1:14" ht="30" x14ac:dyDescent="0.25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9"/>
        <v>337</v>
      </c>
      <c r="I248" s="529">
        <f t="shared" si="19"/>
        <v>302</v>
      </c>
      <c r="J248" s="269">
        <f t="shared" si="19"/>
        <v>337</v>
      </c>
    </row>
    <row r="249" spans="1:14" ht="20" x14ac:dyDescent="0.25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0" hidden="1" x14ac:dyDescent="0.25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20">H251</f>
        <v>0</v>
      </c>
      <c r="I250" s="529">
        <f t="shared" si="20"/>
        <v>0</v>
      </c>
      <c r="J250" s="269">
        <f t="shared" si="20"/>
        <v>0</v>
      </c>
    </row>
    <row r="251" spans="1:14" ht="20" hidden="1" x14ac:dyDescent="0.25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20"/>
        <v>0</v>
      </c>
      <c r="I251" s="529">
        <f t="shared" si="20"/>
        <v>0</v>
      </c>
      <c r="J251" s="269">
        <f t="shared" si="20"/>
        <v>0</v>
      </c>
    </row>
    <row r="252" spans="1:14" ht="20" hidden="1" x14ac:dyDescent="0.25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0" x14ac:dyDescent="0.25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1">H254</f>
        <v>337</v>
      </c>
      <c r="I253" s="529">
        <f t="shared" si="21"/>
        <v>302</v>
      </c>
      <c r="J253" s="269">
        <f t="shared" si="21"/>
        <v>337</v>
      </c>
    </row>
    <row r="254" spans="1:14" ht="26" x14ac:dyDescent="0.25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1"/>
        <v>337</v>
      </c>
      <c r="I254" s="529">
        <f t="shared" si="21"/>
        <v>302</v>
      </c>
      <c r="J254" s="269">
        <f t="shared" si="21"/>
        <v>337</v>
      </c>
    </row>
    <row r="255" spans="1:14" ht="20" x14ac:dyDescent="0.25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ht="13" x14ac:dyDescent="0.3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5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1.5" x14ac:dyDescent="0.25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2">I259</f>
        <v>0</v>
      </c>
      <c r="J258" s="276">
        <f t="shared" si="22"/>
        <v>0</v>
      </c>
    </row>
    <row r="259" spans="1:14" ht="30" x14ac:dyDescent="0.25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2"/>
        <v>0</v>
      </c>
      <c r="J259" s="269">
        <f t="shared" si="22"/>
        <v>0</v>
      </c>
    </row>
    <row r="260" spans="1:14" x14ac:dyDescent="0.25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2"/>
        <v>0</v>
      </c>
      <c r="J260" s="269">
        <f t="shared" si="22"/>
        <v>0</v>
      </c>
    </row>
    <row r="261" spans="1:14" x14ac:dyDescent="0.25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2"/>
        <v>0</v>
      </c>
      <c r="J261" s="269">
        <f t="shared" si="22"/>
        <v>0</v>
      </c>
    </row>
    <row r="262" spans="1:14" x14ac:dyDescent="0.25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0" x14ac:dyDescent="0.25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5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1.5" x14ac:dyDescent="0.3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5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 t="shared" ref="I266:J267" si="23">I267</f>
        <v>0</v>
      </c>
      <c r="J266" s="269">
        <f t="shared" si="23"/>
        <v>0</v>
      </c>
    </row>
    <row r="267" spans="1:14" x14ac:dyDescent="0.25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 t="shared" si="23"/>
        <v>0</v>
      </c>
      <c r="J267" s="269">
        <f t="shared" si="23"/>
        <v>0</v>
      </c>
    </row>
    <row r="268" spans="1:14" x14ac:dyDescent="0.25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5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 t="shared" ref="I269:J270" si="24">I270</f>
        <v>0</v>
      </c>
      <c r="J269" s="269">
        <f t="shared" si="24"/>
        <v>0</v>
      </c>
    </row>
    <row r="270" spans="1:14" s="760" customFormat="1" ht="13" x14ac:dyDescent="0.3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 t="shared" si="24"/>
        <v>0</v>
      </c>
      <c r="J270" s="276">
        <f t="shared" si="24"/>
        <v>0</v>
      </c>
      <c r="N270" s="761"/>
    </row>
    <row r="271" spans="1:14" ht="30" x14ac:dyDescent="0.25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5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5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5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0" x14ac:dyDescent="0.25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0" hidden="1" x14ac:dyDescent="0.25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5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5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5">H279</f>
        <v>799.18499999999995</v>
      </c>
      <c r="I278" s="841">
        <f t="shared" si="25"/>
        <v>531.38</v>
      </c>
      <c r="J278" s="277">
        <f t="shared" si="25"/>
        <v>584.51300000000003</v>
      </c>
    </row>
    <row r="279" spans="1:10" ht="31.5" x14ac:dyDescent="0.25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5"/>
        <v>799.18499999999995</v>
      </c>
      <c r="I279" s="841">
        <f t="shared" si="25"/>
        <v>531.38</v>
      </c>
      <c r="J279" s="277">
        <f t="shared" si="25"/>
        <v>584.51300000000003</v>
      </c>
    </row>
    <row r="280" spans="1:10" x14ac:dyDescent="0.25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5"/>
        <v>799.18499999999995</v>
      </c>
      <c r="I280" s="529">
        <f t="shared" si="25"/>
        <v>531.38</v>
      </c>
      <c r="J280" s="270">
        <f t="shared" si="25"/>
        <v>584.51300000000003</v>
      </c>
    </row>
    <row r="281" spans="1:10" x14ac:dyDescent="0.25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5"/>
        <v>799.18499999999995</v>
      </c>
      <c r="I281" s="529">
        <f t="shared" si="25"/>
        <v>531.38</v>
      </c>
      <c r="J281" s="270">
        <f t="shared" si="25"/>
        <v>584.51300000000003</v>
      </c>
    </row>
    <row r="282" spans="1:10" x14ac:dyDescent="0.25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5"/>
        <v>799.18499999999995</v>
      </c>
      <c r="I282" s="529">
        <f t="shared" si="25"/>
        <v>531.38</v>
      </c>
      <c r="J282" s="270">
        <f t="shared" si="25"/>
        <v>584.51300000000003</v>
      </c>
    </row>
    <row r="283" spans="1:10" x14ac:dyDescent="0.25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5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6">H285</f>
        <v>127.21300000000001</v>
      </c>
      <c r="I284" s="841">
        <f t="shared" si="26"/>
        <v>585.81999999999994</v>
      </c>
      <c r="J284" s="277">
        <f t="shared" si="26"/>
        <v>610.88699999999994</v>
      </c>
    </row>
    <row r="285" spans="1:10" ht="39" x14ac:dyDescent="0.25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6"/>
        <v>585.81999999999994</v>
      </c>
      <c r="J285" s="277">
        <f t="shared" si="26"/>
        <v>610.88699999999994</v>
      </c>
    </row>
    <row r="286" spans="1:10" ht="13.5" x14ac:dyDescent="0.25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6"/>
        <v>102.349</v>
      </c>
      <c r="I286" s="529">
        <f t="shared" si="26"/>
        <v>585.81999999999994</v>
      </c>
      <c r="J286" s="270">
        <f t="shared" si="26"/>
        <v>610.88699999999994</v>
      </c>
    </row>
    <row r="287" spans="1:10" ht="26" x14ac:dyDescent="0.25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6"/>
        <v>102.349</v>
      </c>
      <c r="I287" s="529">
        <f t="shared" si="26"/>
        <v>585.81999999999994</v>
      </c>
      <c r="J287" s="270">
        <f t="shared" si="26"/>
        <v>610.88699999999994</v>
      </c>
    </row>
    <row r="288" spans="1:10" ht="39" x14ac:dyDescent="0.25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13" x14ac:dyDescent="0.25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5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6" x14ac:dyDescent="0.25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9" x14ac:dyDescent="0.25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13" x14ac:dyDescent="0.25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idden="1" x14ac:dyDescent="0.25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5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5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7">H297</f>
        <v>0</v>
      </c>
      <c r="I296" s="841">
        <f t="shared" si="27"/>
        <v>0</v>
      </c>
      <c r="J296" s="277">
        <f t="shared" si="27"/>
        <v>0</v>
      </c>
    </row>
    <row r="297" spans="1:10" ht="31.5" hidden="1" x14ac:dyDescent="0.25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7"/>
        <v>0</v>
      </c>
      <c r="I297" s="841">
        <f t="shared" si="27"/>
        <v>0</v>
      </c>
      <c r="J297" s="277">
        <f t="shared" si="27"/>
        <v>0</v>
      </c>
    </row>
    <row r="298" spans="1:10" ht="20" hidden="1" x14ac:dyDescent="0.25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7"/>
        <v>0</v>
      </c>
      <c r="I298" s="529">
        <f t="shared" si="27"/>
        <v>0</v>
      </c>
      <c r="J298" s="270">
        <f t="shared" si="27"/>
        <v>0</v>
      </c>
    </row>
    <row r="299" spans="1:10" hidden="1" x14ac:dyDescent="0.25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7"/>
        <v>0</v>
      </c>
      <c r="I299" s="529">
        <f t="shared" si="27"/>
        <v>0</v>
      </c>
      <c r="J299" s="270">
        <f t="shared" si="27"/>
        <v>0</v>
      </c>
    </row>
    <row r="300" spans="1:10" hidden="1" x14ac:dyDescent="0.25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5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0" hidden="1" x14ac:dyDescent="0.25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5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5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1.5" x14ac:dyDescent="0.25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0" hidden="1" x14ac:dyDescent="0.25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0" hidden="1" x14ac:dyDescent="0.25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8">H308</f>
        <v>0</v>
      </c>
      <c r="I307" s="529">
        <f t="shared" si="28"/>
        <v>0</v>
      </c>
      <c r="J307" s="270">
        <f t="shared" si="28"/>
        <v>0</v>
      </c>
    </row>
    <row r="308" spans="1:10" ht="20" hidden="1" x14ac:dyDescent="0.25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8"/>
        <v>0</v>
      </c>
      <c r="I308" s="529">
        <f t="shared" si="28"/>
        <v>0</v>
      </c>
      <c r="J308" s="270">
        <f t="shared" si="28"/>
        <v>0</v>
      </c>
    </row>
    <row r="309" spans="1:10" hidden="1" x14ac:dyDescent="0.25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0" hidden="1" x14ac:dyDescent="0.25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idden="1" x14ac:dyDescent="0.25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0" hidden="1" x14ac:dyDescent="0.25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idden="1" x14ac:dyDescent="0.25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0" hidden="1" x14ac:dyDescent="0.25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0" x14ac:dyDescent="0.25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0" x14ac:dyDescent="0.25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9">H317</f>
        <v>500</v>
      </c>
      <c r="I316" s="529">
        <f t="shared" si="29"/>
        <v>450</v>
      </c>
      <c r="J316" s="270">
        <f t="shared" si="29"/>
        <v>500</v>
      </c>
    </row>
    <row r="317" spans="1:10" ht="20" x14ac:dyDescent="0.25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9"/>
        <v>500</v>
      </c>
      <c r="I317" s="529">
        <f t="shared" si="29"/>
        <v>450</v>
      </c>
      <c r="J317" s="270">
        <f t="shared" si="29"/>
        <v>500</v>
      </c>
    </row>
    <row r="318" spans="1:10" ht="20" x14ac:dyDescent="0.25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1.5" hidden="1" x14ac:dyDescent="0.25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5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5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 t="shared" ref="H321:J321" si="30">H322</f>
        <v>0</v>
      </c>
      <c r="I321" s="529">
        <f t="shared" si="30"/>
        <v>0</v>
      </c>
      <c r="J321" s="269">
        <f t="shared" si="30"/>
        <v>0</v>
      </c>
    </row>
    <row r="322" spans="1:10" ht="20" hidden="1" x14ac:dyDescent="0.25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0.5" hidden="1" thickBot="1" x14ac:dyDescent="0.3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21" hidden="1" x14ac:dyDescent="0.25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31">H325</f>
        <v>0</v>
      </c>
      <c r="I324" s="277">
        <f t="shared" si="31"/>
        <v>0</v>
      </c>
      <c r="J324" s="276">
        <f t="shared" si="31"/>
        <v>0</v>
      </c>
    </row>
    <row r="325" spans="1:10" hidden="1" x14ac:dyDescent="0.25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31"/>
        <v>0</v>
      </c>
      <c r="I325" s="270">
        <f t="shared" si="31"/>
        <v>0</v>
      </c>
      <c r="J325" s="269">
        <f t="shared" si="31"/>
        <v>0</v>
      </c>
    </row>
    <row r="326" spans="1:10" hidden="1" x14ac:dyDescent="0.25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31"/>
        <v>0</v>
      </c>
      <c r="I326" s="270">
        <f t="shared" si="31"/>
        <v>0</v>
      </c>
      <c r="J326" s="269">
        <f t="shared" si="31"/>
        <v>0</v>
      </c>
    </row>
    <row r="327" spans="1:10" ht="20.5" hidden="1" thickBot="1" x14ac:dyDescent="0.3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" hidden="1" thickBot="1" x14ac:dyDescent="0.3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" hidden="1" thickBot="1" x14ac:dyDescent="0.3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5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5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32">H332</f>
        <v>7296.08</v>
      </c>
      <c r="I331" s="277">
        <f t="shared" si="32"/>
        <v>6962.0999999999995</v>
      </c>
      <c r="J331" s="276">
        <f t="shared" si="32"/>
        <v>6915</v>
      </c>
    </row>
    <row r="332" spans="1:10" ht="31.5" hidden="1" x14ac:dyDescent="0.25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32"/>
        <v>7296.08</v>
      </c>
      <c r="I332" s="277">
        <f t="shared" si="32"/>
        <v>6962.0999999999995</v>
      </c>
      <c r="J332" s="276">
        <f t="shared" si="32"/>
        <v>6915</v>
      </c>
    </row>
    <row r="333" spans="1:10" ht="30" hidden="1" x14ac:dyDescent="0.25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32"/>
        <v>7296.08</v>
      </c>
      <c r="I333" s="270">
        <f t="shared" si="32"/>
        <v>6962.0999999999995</v>
      </c>
      <c r="J333" s="269">
        <f t="shared" si="32"/>
        <v>6915</v>
      </c>
    </row>
    <row r="334" spans="1:10" hidden="1" x14ac:dyDescent="0.25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32"/>
        <v>7296.08</v>
      </c>
      <c r="I334" s="270">
        <f t="shared" si="32"/>
        <v>6962.0999999999995</v>
      </c>
      <c r="J334" s="269">
        <f t="shared" si="32"/>
        <v>6915</v>
      </c>
    </row>
    <row r="335" spans="1:10" hidden="1" x14ac:dyDescent="0.25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5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0" hidden="1" x14ac:dyDescent="0.25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5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21" hidden="1" x14ac:dyDescent="0.25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5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5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idden="1" x14ac:dyDescent="0.25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t="13" hidden="1" x14ac:dyDescent="0.25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5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33">H345</f>
        <v>1650.46</v>
      </c>
      <c r="I344" s="277">
        <f t="shared" si="33"/>
        <v>1250.5</v>
      </c>
      <c r="J344" s="276">
        <f t="shared" si="33"/>
        <v>1348</v>
      </c>
    </row>
    <row r="345" spans="1:11" ht="31.5" hidden="1" x14ac:dyDescent="0.25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33"/>
        <v>1650.46</v>
      </c>
      <c r="I345" s="277">
        <f t="shared" si="33"/>
        <v>1250.5</v>
      </c>
      <c r="J345" s="276">
        <f t="shared" si="33"/>
        <v>1348</v>
      </c>
    </row>
    <row r="346" spans="1:11" hidden="1" x14ac:dyDescent="0.25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5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4">H348</f>
        <v>1650.46</v>
      </c>
      <c r="I347" s="270">
        <f t="shared" si="34"/>
        <v>1250.5</v>
      </c>
      <c r="J347" s="269">
        <f t="shared" si="34"/>
        <v>1348</v>
      </c>
    </row>
    <row r="348" spans="1:11" ht="13" hidden="1" x14ac:dyDescent="0.25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4"/>
        <v>1650.46</v>
      </c>
      <c r="I348" s="270">
        <f t="shared" si="34"/>
        <v>1250.5</v>
      </c>
      <c r="J348" s="269">
        <f t="shared" si="34"/>
        <v>1348</v>
      </c>
    </row>
    <row r="349" spans="1:11" ht="20.5" hidden="1" thickBot="1" x14ac:dyDescent="0.3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5"/>
    <row r="351" spans="1:11" hidden="1" x14ac:dyDescent="0.25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1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796875" defaultRowHeight="13" x14ac:dyDescent="0.3"/>
  <cols>
    <col min="1" max="1" width="5.26953125" style="1468" customWidth="1"/>
    <col min="2" max="2" width="57.453125" style="1468" customWidth="1"/>
    <col min="3" max="3" width="5.54296875" style="1468" customWidth="1"/>
    <col min="4" max="4" width="6.54296875" style="1468" customWidth="1"/>
    <col min="5" max="5" width="7.26953125" style="1468" customWidth="1"/>
    <col min="6" max="6" width="11.54296875" style="1468" customWidth="1"/>
    <col min="7" max="7" width="7.1796875" style="1468" customWidth="1"/>
    <col min="8" max="9" width="14.7265625" style="1468" hidden="1" customWidth="1"/>
    <col min="10" max="10" width="15.81640625" style="1468" hidden="1" customWidth="1"/>
    <col min="11" max="11" width="18.7265625" style="1468" customWidth="1"/>
    <col min="12" max="12" width="15.54296875" style="1468" customWidth="1"/>
    <col min="13" max="13" width="11.453125" style="1473" hidden="1" customWidth="1"/>
    <col min="14" max="14" width="15.26953125" style="1473" hidden="1" customWidth="1"/>
    <col min="15" max="15" width="10.81640625" style="1473" hidden="1" customWidth="1"/>
    <col min="16" max="16" width="8.81640625" style="1468" customWidth="1"/>
    <col min="17" max="17" width="15.453125" style="1468" customWidth="1"/>
    <col min="18" max="20" width="9.1796875" style="1468" customWidth="1"/>
    <col min="21" max="21" width="13.54296875" style="1468" hidden="1" customWidth="1"/>
    <col min="22" max="22" width="13.7265625" style="1468" hidden="1" customWidth="1"/>
    <col min="23" max="16384" width="9.1796875" style="1468"/>
  </cols>
  <sheetData>
    <row r="1" spans="1:22" s="1433" customFormat="1" ht="15.5" x14ac:dyDescent="0.3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5" x14ac:dyDescent="0.3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5" x14ac:dyDescent="0.35">
      <c r="B3" s="6"/>
      <c r="C3" s="5"/>
      <c r="D3" s="2601" t="s">
        <v>449</v>
      </c>
      <c r="E3" s="2601"/>
      <c r="F3" s="2601"/>
      <c r="G3" s="2601"/>
      <c r="H3" s="2601"/>
      <c r="I3" s="2601"/>
      <c r="J3" s="2601"/>
      <c r="K3" s="2601"/>
      <c r="L3" s="2601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5" x14ac:dyDescent="0.3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5" x14ac:dyDescent="0.25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5" hidden="1" x14ac:dyDescent="0.3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5" hidden="1" x14ac:dyDescent="0.3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5" hidden="1" x14ac:dyDescent="0.3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5" hidden="1" x14ac:dyDescent="0.3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5" x14ac:dyDescent="0.3">
      <c r="B12" s="2716"/>
      <c r="C12" s="2716"/>
      <c r="D12" s="2716"/>
      <c r="E12" s="2716"/>
      <c r="F12" s="2716"/>
      <c r="G12" s="2716"/>
      <c r="H12" s="2716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5" customHeight="1" x14ac:dyDescent="0.3">
      <c r="A13" s="2728" t="s">
        <v>614</v>
      </c>
      <c r="B13" s="2728"/>
      <c r="C13" s="2728"/>
      <c r="D13" s="2728"/>
      <c r="E13" s="2728"/>
      <c r="F13" s="2728"/>
      <c r="G13" s="2728"/>
      <c r="H13" s="2728"/>
      <c r="I13" s="2728"/>
      <c r="J13" s="2728"/>
      <c r="K13" s="2728"/>
      <c r="L13" s="2728"/>
      <c r="M13" s="1442">
        <v>2020</v>
      </c>
      <c r="N13" s="1442"/>
      <c r="O13" s="1442">
        <v>2021</v>
      </c>
    </row>
    <row r="14" spans="1:22" s="1" customFormat="1" ht="15.65" customHeight="1" x14ac:dyDescent="0.3">
      <c r="A14" s="2728" t="s">
        <v>613</v>
      </c>
      <c r="B14" s="2728"/>
      <c r="C14" s="2728"/>
      <c r="D14" s="2728"/>
      <c r="E14" s="2728"/>
      <c r="F14" s="2728"/>
      <c r="G14" s="2728"/>
      <c r="H14" s="2728"/>
      <c r="I14" s="2728"/>
      <c r="J14" s="2728"/>
      <c r="K14" s="2728"/>
      <c r="L14" s="2728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3">
      <c r="A15" s="2728" t="s">
        <v>903</v>
      </c>
      <c r="B15" s="2728"/>
      <c r="C15" s="2728"/>
      <c r="D15" s="2728"/>
      <c r="E15" s="2728"/>
      <c r="F15" s="2728"/>
      <c r="G15" s="2728"/>
      <c r="H15" s="2728"/>
      <c r="I15" s="2728"/>
      <c r="J15" s="2728"/>
      <c r="K15" s="2728"/>
      <c r="L15" s="2728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14.5" x14ac:dyDescent="0.3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4.5" x14ac:dyDescent="0.3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3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3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4.5" x14ac:dyDescent="0.3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3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1" x14ac:dyDescent="0.3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3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3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1" x14ac:dyDescent="0.3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14.5" x14ac:dyDescent="0.3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3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3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3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3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3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14.5" x14ac:dyDescent="0.3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1" x14ac:dyDescent="0.3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2" hidden="1" thickBot="1" x14ac:dyDescent="0.4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3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2" hidden="1" thickBot="1" x14ac:dyDescent="0.4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15" hidden="1" thickBot="1" x14ac:dyDescent="0.4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1.5" hidden="1" thickBot="1" x14ac:dyDescent="0.4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2" hidden="1" thickBot="1" x14ac:dyDescent="0.4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21.5" hidden="1" thickBot="1" x14ac:dyDescent="0.4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" hidden="1" thickBot="1" x14ac:dyDescent="0.4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21.5" hidden="1" thickBot="1" x14ac:dyDescent="0.4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" hidden="1" thickBot="1" x14ac:dyDescent="0.4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5" hidden="1" thickBot="1" x14ac:dyDescent="0.4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4.5" hidden="1" x14ac:dyDescent="0.3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2.5" x14ac:dyDescent="0.3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3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3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3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3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14.5" x14ac:dyDescent="0.3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1" x14ac:dyDescent="0.3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22" hidden="1" x14ac:dyDescent="0.3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4.5" hidden="1" x14ac:dyDescent="0.3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21" hidden="1" x14ac:dyDescent="0.3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4.5" hidden="1" x14ac:dyDescent="0.3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2" hidden="1" x14ac:dyDescent="0.3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4.5" hidden="1" x14ac:dyDescent="0.3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31.5" x14ac:dyDescent="0.3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4.5" x14ac:dyDescent="0.3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1" x14ac:dyDescent="0.3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14.5" x14ac:dyDescent="0.3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4.5" x14ac:dyDescent="0.3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3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3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3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3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3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4.5" x14ac:dyDescent="0.3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3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3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3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3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1" x14ac:dyDescent="0.3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3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9" hidden="1" x14ac:dyDescent="0.3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39" hidden="1" x14ac:dyDescent="0.3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3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4.5" hidden="1" x14ac:dyDescent="0.3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1" hidden="1" x14ac:dyDescent="0.3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22" hidden="1" x14ac:dyDescent="0.3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4.5" hidden="1" x14ac:dyDescent="0.3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39" hidden="1" x14ac:dyDescent="0.3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14.5" hidden="1" x14ac:dyDescent="0.3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1" hidden="1" x14ac:dyDescent="0.3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3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3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3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3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3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1" x14ac:dyDescent="0.3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14.5" x14ac:dyDescent="0.3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1" x14ac:dyDescent="0.3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4.5" x14ac:dyDescent="0.3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3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3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5" customHeight="1" x14ac:dyDescent="0.3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3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1" x14ac:dyDescent="0.3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1" x14ac:dyDescent="0.3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4.5" hidden="1" x14ac:dyDescent="0.3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1" hidden="1" x14ac:dyDescent="0.3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4.5" hidden="1" x14ac:dyDescent="0.3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1" hidden="1" x14ac:dyDescent="0.3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3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3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1" x14ac:dyDescent="0.3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1" hidden="1" x14ac:dyDescent="0.3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3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1" x14ac:dyDescent="0.3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3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1" x14ac:dyDescent="0.3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3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3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3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1.5" x14ac:dyDescent="0.3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3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1" x14ac:dyDescent="0.3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4.5" x14ac:dyDescent="0.3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4.5" x14ac:dyDescent="0.3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1.5" x14ac:dyDescent="0.3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1" hidden="1" x14ac:dyDescent="0.3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2" hidden="1" x14ac:dyDescent="0.3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4.5" hidden="1" x14ac:dyDescent="0.3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1" hidden="1" x14ac:dyDescent="0.3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1" hidden="1" x14ac:dyDescent="0.3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1" hidden="1" x14ac:dyDescent="0.3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5" hidden="1" x14ac:dyDescent="0.3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1" hidden="1" x14ac:dyDescent="0.3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1.5" x14ac:dyDescent="0.3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1" x14ac:dyDescent="0.3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3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1" x14ac:dyDescent="0.3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1" x14ac:dyDescent="0.3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1" x14ac:dyDescent="0.3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31.5" hidden="1" x14ac:dyDescent="0.3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1" hidden="1" x14ac:dyDescent="0.3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31.5" hidden="1" x14ac:dyDescent="0.3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31.5" hidden="1" x14ac:dyDescent="0.3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4.5" hidden="1" x14ac:dyDescent="0.3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2" hidden="1" x14ac:dyDescent="0.3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21" hidden="1" x14ac:dyDescent="0.3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1" hidden="1" x14ac:dyDescent="0.3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31.5" hidden="1" x14ac:dyDescent="0.3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1" hidden="1" x14ac:dyDescent="0.3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2" hidden="1" x14ac:dyDescent="0.3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1" hidden="1" x14ac:dyDescent="0.3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3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4.5" x14ac:dyDescent="0.3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4.5" x14ac:dyDescent="0.3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1" x14ac:dyDescent="0.3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1" x14ac:dyDescent="0.3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4.5" x14ac:dyDescent="0.3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1.5" x14ac:dyDescent="0.3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1.5" x14ac:dyDescent="0.3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1" x14ac:dyDescent="0.3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1" x14ac:dyDescent="0.3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5" customHeight="1" x14ac:dyDescent="0.3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3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3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3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1" x14ac:dyDescent="0.3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4.5" hidden="1" x14ac:dyDescent="0.3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1" hidden="1" x14ac:dyDescent="0.3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3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1" x14ac:dyDescent="0.3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4.5" x14ac:dyDescent="0.3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4.5" x14ac:dyDescent="0.3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3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3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3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4.5" hidden="1" x14ac:dyDescent="0.3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1" hidden="1" x14ac:dyDescent="0.3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4.5" hidden="1" x14ac:dyDescent="0.3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1" hidden="1" x14ac:dyDescent="0.3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3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1" x14ac:dyDescent="0.3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4.5" x14ac:dyDescent="0.3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21" x14ac:dyDescent="0.3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3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1" x14ac:dyDescent="0.3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3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42" x14ac:dyDescent="0.3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21" x14ac:dyDescent="0.3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1" x14ac:dyDescent="0.3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1" x14ac:dyDescent="0.3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4.5" hidden="1" x14ac:dyDescent="0.3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1" hidden="1" x14ac:dyDescent="0.3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3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4.5" hidden="1" x14ac:dyDescent="0.3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4.5" hidden="1" x14ac:dyDescent="0.3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1" hidden="1" x14ac:dyDescent="0.3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4.5" hidden="1" x14ac:dyDescent="0.3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1" hidden="1" x14ac:dyDescent="0.3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1" hidden="1" x14ac:dyDescent="0.3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3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1" x14ac:dyDescent="0.3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4.5" x14ac:dyDescent="0.3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3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1.5" x14ac:dyDescent="0.3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3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1" x14ac:dyDescent="0.3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3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1" x14ac:dyDescent="0.3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31.5" x14ac:dyDescent="0.3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1" x14ac:dyDescent="0.3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1.5" x14ac:dyDescent="0.3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14.5" hidden="1" x14ac:dyDescent="0.3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1" hidden="1" x14ac:dyDescent="0.3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4.5" x14ac:dyDescent="0.3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1" x14ac:dyDescent="0.3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1.5" x14ac:dyDescent="0.3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14.5" hidden="1" x14ac:dyDescent="0.3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1" x14ac:dyDescent="0.3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1" hidden="1" x14ac:dyDescent="0.3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21" hidden="1" x14ac:dyDescent="0.3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4.5" hidden="1" x14ac:dyDescent="0.3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4.5" hidden="1" x14ac:dyDescent="0.3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1" hidden="1" x14ac:dyDescent="0.3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4.5" hidden="1" x14ac:dyDescent="0.3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1" hidden="1" x14ac:dyDescent="0.3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1" hidden="1" x14ac:dyDescent="0.3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4.5" x14ac:dyDescent="0.3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4.5" x14ac:dyDescent="0.3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3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1" x14ac:dyDescent="0.3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2" hidden="1" x14ac:dyDescent="0.3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1" hidden="1" x14ac:dyDescent="0.3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1" hidden="1" x14ac:dyDescent="0.3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1" x14ac:dyDescent="0.3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4.5" x14ac:dyDescent="0.3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1" x14ac:dyDescent="0.3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4.5" x14ac:dyDescent="0.3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4.5" x14ac:dyDescent="0.3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3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1.5" x14ac:dyDescent="0.3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3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3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3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1" x14ac:dyDescent="0.3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3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5" customHeight="1" x14ac:dyDescent="0.3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3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3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3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3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3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3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4.5" x14ac:dyDescent="0.3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3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3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3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3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1" x14ac:dyDescent="0.3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1" hidden="1" x14ac:dyDescent="0.3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21" hidden="1" x14ac:dyDescent="0.3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1" hidden="1" x14ac:dyDescent="0.3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1" hidden="1" x14ac:dyDescent="0.3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1" hidden="1" x14ac:dyDescent="0.3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1" hidden="1" x14ac:dyDescent="0.3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3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3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3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3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3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3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3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4.5" hidden="1" x14ac:dyDescent="0.3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3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3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3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3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3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3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1" hidden="1" x14ac:dyDescent="0.3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3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4.5" hidden="1" x14ac:dyDescent="0.3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3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21" hidden="1" x14ac:dyDescent="0.3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4.5" hidden="1" x14ac:dyDescent="0.3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4.5" hidden="1" x14ac:dyDescent="0.3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4.5" hidden="1" x14ac:dyDescent="0.3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1" hidden="1" x14ac:dyDescent="0.3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4.5" hidden="1" x14ac:dyDescent="0.3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3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3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21" hidden="1" x14ac:dyDescent="0.3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1" hidden="1" x14ac:dyDescent="0.3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1" hidden="1" x14ac:dyDescent="0.3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4.5" hidden="1" x14ac:dyDescent="0.3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1" hidden="1" x14ac:dyDescent="0.3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14.5" hidden="1" x14ac:dyDescent="0.3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1" hidden="1" x14ac:dyDescent="0.3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14.5" hidden="1" x14ac:dyDescent="0.3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1" hidden="1" x14ac:dyDescent="0.3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3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21" x14ac:dyDescent="0.3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1" x14ac:dyDescent="0.3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1.5" thickBot="1" x14ac:dyDescent="0.4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21" hidden="1" x14ac:dyDescent="0.3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1" hidden="1" x14ac:dyDescent="0.3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1" hidden="1" x14ac:dyDescent="0.3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21" hidden="1" x14ac:dyDescent="0.3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4.5" hidden="1" x14ac:dyDescent="0.3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4.5" hidden="1" x14ac:dyDescent="0.3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1" hidden="1" x14ac:dyDescent="0.3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" hidden="1" thickBot="1" x14ac:dyDescent="0.4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4.5" hidden="1" x14ac:dyDescent="0.3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4.5" hidden="1" x14ac:dyDescent="0.3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3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1.5" hidden="1" x14ac:dyDescent="0.3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3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3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3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1" hidden="1" x14ac:dyDescent="0.3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3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4.5" hidden="1" x14ac:dyDescent="0.3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3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14.5" hidden="1" x14ac:dyDescent="0.3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3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4.5" hidden="1" x14ac:dyDescent="0.3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1.5" hidden="1" thickBot="1" x14ac:dyDescent="0.4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4.5" hidden="1" x14ac:dyDescent="0.3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4.5" x14ac:dyDescent="0.3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>K326</f>
        <v>1200</v>
      </c>
      <c r="L325" s="1467">
        <f>L326</f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4.5" x14ac:dyDescent="0.3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ref="K326:L327" si="36">K327</f>
        <v>1200</v>
      </c>
      <c r="L326" s="1471">
        <f t="shared" si="36"/>
        <v>1200</v>
      </c>
      <c r="M326" s="1462"/>
      <c r="N326" s="1462"/>
      <c r="O326" s="1462"/>
    </row>
    <row r="327" spans="1:22" x14ac:dyDescent="0.3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3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>K329</f>
        <v>1200</v>
      </c>
      <c r="L328" s="1472">
        <f>L329</f>
        <v>1200</v>
      </c>
    </row>
    <row r="329" spans="1:22" ht="31.5" x14ac:dyDescent="0.3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idden="1" x14ac:dyDescent="0.3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1.5" thickBot="1" x14ac:dyDescent="0.3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3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9" width="14.7265625" style="263" hidden="1" customWidth="1"/>
    <col min="10" max="10" width="15.81640625" style="263" hidden="1" customWidth="1"/>
    <col min="11" max="11" width="18.7265625" style="263" customWidth="1"/>
    <col min="12" max="12" width="14.26953125" style="1" customWidth="1"/>
    <col min="13" max="13" width="11.1796875" style="1" customWidth="1"/>
    <col min="14" max="14" width="9.1796875" style="1" customWidth="1"/>
    <col min="15" max="16" width="8.81640625" style="1" customWidth="1"/>
    <col min="17" max="17" width="15.453125" style="1" customWidth="1"/>
    <col min="18" max="20" width="9.1796875" style="1" customWidth="1"/>
    <col min="21" max="21" width="13.54296875" style="1" hidden="1" customWidth="1"/>
    <col min="22" max="22" width="13.7265625" style="1" hidden="1" customWidth="1"/>
    <col min="23" max="16384" width="9.1796875" style="1"/>
  </cols>
  <sheetData>
    <row r="1" spans="1:22" ht="15.5" x14ac:dyDescent="0.3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5" x14ac:dyDescent="0.3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5" x14ac:dyDescent="0.35">
      <c r="D3" s="2601" t="s">
        <v>449</v>
      </c>
      <c r="E3" s="2601"/>
      <c r="F3" s="2601"/>
      <c r="G3" s="2601"/>
      <c r="H3" s="2601"/>
      <c r="I3" s="2601"/>
      <c r="J3" s="2601"/>
      <c r="K3" s="2601"/>
      <c r="L3" s="2601"/>
      <c r="M3" s="261"/>
      <c r="N3" s="261"/>
      <c r="O3" s="261"/>
      <c r="P3" s="261"/>
      <c r="Q3" s="261"/>
      <c r="R3" s="261"/>
      <c r="S3" s="261"/>
      <c r="T3" s="261"/>
    </row>
    <row r="4" spans="1:22" ht="15.5" x14ac:dyDescent="0.3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5" x14ac:dyDescent="0.25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5" hidden="1" x14ac:dyDescent="0.35">
      <c r="K6" s="4"/>
      <c r="L6" s="4"/>
      <c r="M6" s="4"/>
      <c r="N6" s="263"/>
      <c r="O6" s="870"/>
      <c r="P6" s="870"/>
      <c r="Q6" s="870"/>
      <c r="R6" s="870"/>
    </row>
    <row r="7" spans="1:22" ht="15.5" hidden="1" x14ac:dyDescent="0.3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5" hidden="1" x14ac:dyDescent="0.3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5" hidden="1" x14ac:dyDescent="0.3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5" x14ac:dyDescent="0.3">
      <c r="B12" s="2716"/>
      <c r="C12" s="2716"/>
      <c r="D12" s="2716"/>
      <c r="E12" s="2716"/>
      <c r="F12" s="2716"/>
      <c r="G12" s="2716"/>
      <c r="H12" s="2716"/>
      <c r="I12" s="242" t="s">
        <v>442</v>
      </c>
      <c r="J12" s="241" t="e">
        <f>J10-J11-#REF!</f>
        <v>#REF!</v>
      </c>
      <c r="K12" s="240"/>
    </row>
    <row r="13" spans="1:22" ht="15.65" customHeight="1" x14ac:dyDescent="0.25">
      <c r="A13" s="2728" t="s">
        <v>614</v>
      </c>
      <c r="B13" s="2728"/>
      <c r="C13" s="2728"/>
      <c r="D13" s="2728"/>
      <c r="E13" s="2728"/>
      <c r="F13" s="2728"/>
      <c r="G13" s="2728"/>
      <c r="H13" s="2728"/>
      <c r="I13" s="2728"/>
      <c r="J13" s="2728"/>
      <c r="K13" s="2728"/>
      <c r="L13" s="2728"/>
    </row>
    <row r="14" spans="1:22" ht="15.65" customHeight="1" x14ac:dyDescent="0.25">
      <c r="A14" s="2728" t="s">
        <v>613</v>
      </c>
      <c r="B14" s="2728"/>
      <c r="C14" s="2728"/>
      <c r="D14" s="2728"/>
      <c r="E14" s="2728"/>
      <c r="F14" s="2728"/>
      <c r="G14" s="2728"/>
      <c r="H14" s="2728"/>
      <c r="I14" s="2728"/>
      <c r="J14" s="2728"/>
      <c r="K14" s="2728"/>
      <c r="L14" s="2728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5">
      <c r="A15" s="2728" t="s">
        <v>903</v>
      </c>
      <c r="B15" s="2728"/>
      <c r="C15" s="2728"/>
      <c r="D15" s="2728"/>
      <c r="E15" s="2728"/>
      <c r="F15" s="2728"/>
      <c r="G15" s="2728"/>
      <c r="H15" s="2728"/>
      <c r="I15" s="2728"/>
      <c r="J15" s="2728"/>
      <c r="K15" s="2728"/>
      <c r="L15" s="2728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x14ac:dyDescent="0.25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ht="13" x14ac:dyDescent="0.25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1" hidden="1" x14ac:dyDescent="0.25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1" x14ac:dyDescent="0.25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0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5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0" x14ac:dyDescent="0.25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1.5" x14ac:dyDescent="0.25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0" x14ac:dyDescent="0.25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0" x14ac:dyDescent="0.25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5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5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x14ac:dyDescent="0.25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0.5" thickBot="1" x14ac:dyDescent="0.3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0" hidden="1" x14ac:dyDescent="0.25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5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0" hidden="1" x14ac:dyDescent="0.25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idden="1" x14ac:dyDescent="0.25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0" hidden="1" x14ac:dyDescent="0.25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0" hidden="1" x14ac:dyDescent="0.25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0" hidden="1" x14ac:dyDescent="0.25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5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20" hidden="1" x14ac:dyDescent="0.25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" hidden="1" thickBot="1" x14ac:dyDescent="0.3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1.5" thickBot="1" x14ac:dyDescent="0.3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5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1.5" x14ac:dyDescent="0.25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0" x14ac:dyDescent="0.25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0" x14ac:dyDescent="0.25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5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5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x14ac:dyDescent="0.25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0" x14ac:dyDescent="0.25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20.5" hidden="1" x14ac:dyDescent="0.25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5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20" hidden="1" x14ac:dyDescent="0.25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5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0" hidden="1" x14ac:dyDescent="0.25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5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0" x14ac:dyDescent="0.25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5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0" x14ac:dyDescent="0.25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x14ac:dyDescent="0.25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5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20" x14ac:dyDescent="0.25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5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5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5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5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5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x14ac:dyDescent="0.25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5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5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5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0" x14ac:dyDescent="0.25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5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9" hidden="1" x14ac:dyDescent="0.25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9" hidden="1" x14ac:dyDescent="0.25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5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5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0" hidden="1" x14ac:dyDescent="0.25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20.5" hidden="1" x14ac:dyDescent="0.25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5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9" hidden="1" x14ac:dyDescent="0.25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idden="1" x14ac:dyDescent="0.25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0" hidden="1" x14ac:dyDescent="0.25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5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5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1" x14ac:dyDescent="0.25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5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5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0" x14ac:dyDescent="0.25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x14ac:dyDescent="0.25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0" x14ac:dyDescent="0.25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5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1" x14ac:dyDescent="0.25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20" x14ac:dyDescent="0.25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0" x14ac:dyDescent="0.25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20" x14ac:dyDescent="0.25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0" x14ac:dyDescent="0.25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0" x14ac:dyDescent="0.25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5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0" hidden="1" x14ac:dyDescent="0.25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5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0" hidden="1" x14ac:dyDescent="0.25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5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5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0" x14ac:dyDescent="0.25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0" hidden="1" x14ac:dyDescent="0.25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5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0" x14ac:dyDescent="0.25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5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0" x14ac:dyDescent="0.25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9" x14ac:dyDescent="0.25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9" x14ac:dyDescent="0.25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5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0" x14ac:dyDescent="0.25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5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0" x14ac:dyDescent="0.25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5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5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0" x14ac:dyDescent="0.25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0" hidden="1" x14ac:dyDescent="0.25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0" hidden="1" x14ac:dyDescent="0.25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t="13" hidden="1" x14ac:dyDescent="0.25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0" hidden="1" x14ac:dyDescent="0.25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0" hidden="1" x14ac:dyDescent="0.25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0" hidden="1" x14ac:dyDescent="0.25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6" hidden="1" x14ac:dyDescent="0.3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0" hidden="1" x14ac:dyDescent="0.25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0" x14ac:dyDescent="0.25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x14ac:dyDescent="0.25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5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0" x14ac:dyDescent="0.25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0" x14ac:dyDescent="0.25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0" x14ac:dyDescent="0.25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31.5" hidden="1" x14ac:dyDescent="0.25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0" hidden="1" x14ac:dyDescent="0.25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0" hidden="1" x14ac:dyDescent="0.25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0" hidden="1" x14ac:dyDescent="0.25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5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0" hidden="1" x14ac:dyDescent="0.25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20" hidden="1" x14ac:dyDescent="0.25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0" hidden="1" x14ac:dyDescent="0.25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0" hidden="1" x14ac:dyDescent="0.25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0" hidden="1" x14ac:dyDescent="0.25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0" hidden="1" x14ac:dyDescent="0.25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0" hidden="1" x14ac:dyDescent="0.25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1.5" hidden="1" x14ac:dyDescent="0.25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5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5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0" hidden="1" x14ac:dyDescent="0.25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0" hidden="1" x14ac:dyDescent="0.25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5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0" x14ac:dyDescent="0.25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0" x14ac:dyDescent="0.25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0" x14ac:dyDescent="0.25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0" x14ac:dyDescent="0.25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5" customHeight="1" x14ac:dyDescent="0.25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5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5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5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0" x14ac:dyDescent="0.25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5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0" hidden="1" x14ac:dyDescent="0.25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5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0" x14ac:dyDescent="0.25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5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5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5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5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5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5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0" hidden="1" x14ac:dyDescent="0.25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5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0" hidden="1" x14ac:dyDescent="0.25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5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0" x14ac:dyDescent="0.25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5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0" x14ac:dyDescent="0.25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5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0" x14ac:dyDescent="0.25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5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40" x14ac:dyDescent="0.25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20" x14ac:dyDescent="0.25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0" x14ac:dyDescent="0.25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0" x14ac:dyDescent="0.25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5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0" hidden="1" x14ac:dyDescent="0.25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1.5" hidden="1" x14ac:dyDescent="0.25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5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5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0" hidden="1" x14ac:dyDescent="0.25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5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0" hidden="1" x14ac:dyDescent="0.25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0" hidden="1" x14ac:dyDescent="0.25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6" x14ac:dyDescent="0.25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0" x14ac:dyDescent="0.25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5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0" x14ac:dyDescent="0.25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0" x14ac:dyDescent="0.25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0" x14ac:dyDescent="0.25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0" x14ac:dyDescent="0.25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0" x14ac:dyDescent="0.25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0" x14ac:dyDescent="0.25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2" hidden="1" x14ac:dyDescent="0.25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0" hidden="1" x14ac:dyDescent="0.25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5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5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0" hidden="1" x14ac:dyDescent="0.25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0" hidden="1" x14ac:dyDescent="0.25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0" hidden="1" x14ac:dyDescent="0.25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0" hidden="1" x14ac:dyDescent="0.25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0" hidden="1" x14ac:dyDescent="0.25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0" hidden="1" x14ac:dyDescent="0.25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0" hidden="1" x14ac:dyDescent="0.25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0" hidden="1" x14ac:dyDescent="0.25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5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5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0" hidden="1" x14ac:dyDescent="0.25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5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0" hidden="1" x14ac:dyDescent="0.25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0" hidden="1" x14ac:dyDescent="0.25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5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5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0" x14ac:dyDescent="0.25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20" x14ac:dyDescent="0.25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0" hidden="1" x14ac:dyDescent="0.25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0" hidden="1" x14ac:dyDescent="0.25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0" hidden="1" x14ac:dyDescent="0.25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0" x14ac:dyDescent="0.25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6" x14ac:dyDescent="0.25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0" x14ac:dyDescent="0.25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5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5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0" x14ac:dyDescent="0.25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0" x14ac:dyDescent="0.25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5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5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5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0" x14ac:dyDescent="0.25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5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5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0" x14ac:dyDescent="0.25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5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5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5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0" x14ac:dyDescent="0.25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0" hidden="1" x14ac:dyDescent="0.25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0" hidden="1" x14ac:dyDescent="0.25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0" hidden="1" x14ac:dyDescent="0.25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0" hidden="1" x14ac:dyDescent="0.25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0" hidden="1" x14ac:dyDescent="0.25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0" hidden="1" x14ac:dyDescent="0.25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5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5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5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5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5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5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ht="20" x14ac:dyDescent="0.25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5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5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5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5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5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5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5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t="20" hidden="1" x14ac:dyDescent="0.25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5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5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1.5" hidden="1" x14ac:dyDescent="0.25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20" hidden="1" x14ac:dyDescent="0.25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5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5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5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0" hidden="1" x14ac:dyDescent="0.25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5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5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0" x14ac:dyDescent="0.25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0" hidden="1" x14ac:dyDescent="0.25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0" hidden="1" x14ac:dyDescent="0.25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0" hidden="1" x14ac:dyDescent="0.25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5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0" hidden="1" x14ac:dyDescent="0.25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idden="1" x14ac:dyDescent="0.25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0" hidden="1" x14ac:dyDescent="0.25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idden="1" x14ac:dyDescent="0.25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0" hidden="1" x14ac:dyDescent="0.25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0" x14ac:dyDescent="0.25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0" x14ac:dyDescent="0.25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0" x14ac:dyDescent="0.25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0.5" thickBot="1" x14ac:dyDescent="0.3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20" hidden="1" x14ac:dyDescent="0.25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0" hidden="1" x14ac:dyDescent="0.25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0" hidden="1" x14ac:dyDescent="0.25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21" hidden="1" x14ac:dyDescent="0.25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5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5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0.5" hidden="1" thickBot="1" x14ac:dyDescent="0.3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" hidden="1" thickBot="1" x14ac:dyDescent="0.3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5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5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1.5" hidden="1" x14ac:dyDescent="0.25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0" hidden="1" x14ac:dyDescent="0.25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5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5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5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0" hidden="1" x14ac:dyDescent="0.25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5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5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1.5" hidden="1" x14ac:dyDescent="0.25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5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5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t="13" hidden="1" x14ac:dyDescent="0.25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0.5" hidden="1" thickBot="1" x14ac:dyDescent="0.3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5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2705" t="s">
        <v>991</v>
      </c>
      <c r="I5" s="2705"/>
      <c r="J5" s="2705"/>
      <c r="K5" s="2705"/>
      <c r="L5" s="2705"/>
      <c r="M5" s="2705"/>
      <c r="N5" s="2705"/>
      <c r="O5" s="2705"/>
      <c r="P5" s="2705"/>
      <c r="Q5" s="2705"/>
      <c r="R5" s="2705"/>
      <c r="S5" s="2705"/>
      <c r="T5" s="2705"/>
      <c r="U5" s="2705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2727"/>
      <c r="C12" s="2727"/>
      <c r="D12" s="2727"/>
      <c r="E12" s="2727"/>
      <c r="F12" s="2727"/>
      <c r="G12" s="2727"/>
      <c r="H12" s="2727"/>
      <c r="I12" s="1830" t="e">
        <f>I10-I11-#REF!</f>
        <v>#REF!</v>
      </c>
      <c r="N12" s="237"/>
      <c r="U12" s="237"/>
    </row>
    <row r="13" spans="1:27" ht="15.65" customHeight="1" x14ac:dyDescent="0.25">
      <c r="A13" s="2728" t="s">
        <v>614</v>
      </c>
      <c r="B13" s="2728"/>
      <c r="C13" s="2728"/>
      <c r="D13" s="2728"/>
      <c r="E13" s="2728"/>
      <c r="F13" s="2728"/>
      <c r="G13" s="2728"/>
      <c r="H13" s="2728"/>
      <c r="I13" s="2728"/>
      <c r="J13" s="2728"/>
      <c r="K13" s="2728"/>
      <c r="L13" s="2728"/>
      <c r="M13" s="2728"/>
      <c r="N13" s="2728"/>
      <c r="O13" s="2728"/>
      <c r="P13" s="2728"/>
      <c r="Q13" s="2728"/>
      <c r="R13" s="2728"/>
      <c r="S13" s="2728"/>
      <c r="T13" s="2728"/>
      <c r="U13" s="2728"/>
      <c r="AA13" s="1831"/>
    </row>
    <row r="14" spans="1:27" ht="15.65" customHeight="1" x14ac:dyDescent="0.25">
      <c r="A14" s="2728" t="s">
        <v>613</v>
      </c>
      <c r="B14" s="2728"/>
      <c r="C14" s="2728"/>
      <c r="D14" s="2728"/>
      <c r="E14" s="2728"/>
      <c r="F14" s="2728"/>
      <c r="G14" s="2728"/>
      <c r="H14" s="2728"/>
      <c r="I14" s="2728"/>
      <c r="J14" s="2728"/>
      <c r="K14" s="2728"/>
      <c r="L14" s="2728"/>
      <c r="M14" s="2728"/>
      <c r="N14" s="2728"/>
      <c r="O14" s="2728"/>
      <c r="P14" s="2728"/>
      <c r="Q14" s="2728"/>
      <c r="R14" s="2728"/>
      <c r="S14" s="2728"/>
      <c r="T14" s="2728"/>
      <c r="U14" s="2728"/>
      <c r="AA14" s="1832"/>
    </row>
    <row r="15" spans="1:27" ht="15" customHeight="1" x14ac:dyDescent="0.25">
      <c r="A15" s="2728" t="s">
        <v>968</v>
      </c>
      <c r="B15" s="2728"/>
      <c r="C15" s="2728"/>
      <c r="D15" s="2728"/>
      <c r="E15" s="2728"/>
      <c r="F15" s="2728"/>
      <c r="G15" s="2728"/>
      <c r="H15" s="2728"/>
      <c r="I15" s="2728"/>
      <c r="J15" s="2728"/>
      <c r="K15" s="2728"/>
      <c r="L15" s="2728"/>
      <c r="M15" s="2728"/>
      <c r="N15" s="2728"/>
      <c r="O15" s="2728"/>
      <c r="P15" s="2728"/>
      <c r="Q15" s="2728"/>
      <c r="R15" s="2728"/>
      <c r="S15" s="2728"/>
      <c r="T15" s="2728"/>
      <c r="U15" s="2728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 t="shared" ref="N48:N51" si="3">N49</f>
        <v>0</v>
      </c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 t="shared" si="3"/>
        <v>0</v>
      </c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 t="shared" si="3"/>
        <v>0</v>
      </c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 t="shared" si="3"/>
        <v>0</v>
      </c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5">I70</f>
        <v>1627.663</v>
      </c>
      <c r="J69" s="269">
        <f t="shared" si="5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5"/>
        <v>1627.663</v>
      </c>
      <c r="J70" s="269">
        <f t="shared" si="5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5"/>
        <v>1627.663</v>
      </c>
      <c r="J71" s="269">
        <f t="shared" si="5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6">H86</f>
        <v>2000</v>
      </c>
      <c r="I85" s="841">
        <f t="shared" si="6"/>
        <v>2500.6</v>
      </c>
      <c r="J85" s="276">
        <f t="shared" si="6"/>
        <v>2701.74</v>
      </c>
      <c r="K85" s="1858"/>
      <c r="L85" s="1858"/>
      <c r="M85" s="1858"/>
      <c r="N85" s="1208">
        <f t="shared" ref="N85:N89" si="7">N86</f>
        <v>2900</v>
      </c>
      <c r="O85" s="1858"/>
      <c r="P85" s="1858"/>
      <c r="Q85" s="1858"/>
      <c r="R85" s="1858"/>
      <c r="S85" s="1858"/>
      <c r="T85" s="1858"/>
      <c r="U85" s="1683">
        <f t="shared" ref="U85:U89" si="8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6"/>
        <v>2000</v>
      </c>
      <c r="I86" s="529">
        <f t="shared" si="6"/>
        <v>2500.6</v>
      </c>
      <c r="J86" s="269">
        <f t="shared" si="6"/>
        <v>2701.74</v>
      </c>
      <c r="K86" s="1858"/>
      <c r="L86" s="1858"/>
      <c r="M86" s="1858"/>
      <c r="N86" s="1200">
        <f t="shared" si="7"/>
        <v>2900</v>
      </c>
      <c r="O86" s="1858"/>
      <c r="P86" s="1858"/>
      <c r="Q86" s="1858"/>
      <c r="R86" s="1858"/>
      <c r="S86" s="1858"/>
      <c r="T86" s="1858"/>
      <c r="U86" s="1682">
        <f t="shared" si="8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6"/>
        <v>2000</v>
      </c>
      <c r="I87" s="529">
        <f t="shared" si="6"/>
        <v>2500.6</v>
      </c>
      <c r="J87" s="269">
        <f t="shared" si="6"/>
        <v>2701.74</v>
      </c>
      <c r="K87" s="1858"/>
      <c r="L87" s="1858"/>
      <c r="M87" s="1858"/>
      <c r="N87" s="1200">
        <f t="shared" si="7"/>
        <v>2900</v>
      </c>
      <c r="O87" s="1858"/>
      <c r="P87" s="1858"/>
      <c r="Q87" s="1858"/>
      <c r="R87" s="1858"/>
      <c r="S87" s="1858"/>
      <c r="T87" s="1858"/>
      <c r="U87" s="1682">
        <f t="shared" si="8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6"/>
        <v>2000</v>
      </c>
      <c r="I88" s="529">
        <f t="shared" si="6"/>
        <v>2500.6</v>
      </c>
      <c r="J88" s="269">
        <f t="shared" si="6"/>
        <v>2701.74</v>
      </c>
      <c r="K88" s="1858"/>
      <c r="L88" s="1858"/>
      <c r="M88" s="1858"/>
      <c r="N88" s="1200">
        <f t="shared" si="7"/>
        <v>2900</v>
      </c>
      <c r="O88" s="1858"/>
      <c r="P88" s="1858"/>
      <c r="Q88" s="1858"/>
      <c r="R88" s="1858"/>
      <c r="S88" s="1858"/>
      <c r="T88" s="1858"/>
      <c r="U88" s="1682">
        <f t="shared" si="8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6"/>
        <v>2000</v>
      </c>
      <c r="I89" s="529">
        <f t="shared" si="6"/>
        <v>2500.6</v>
      </c>
      <c r="J89" s="269">
        <f t="shared" si="6"/>
        <v>2701.74</v>
      </c>
      <c r="K89" s="1858"/>
      <c r="L89" s="1858"/>
      <c r="M89" s="1858"/>
      <c r="N89" s="1200">
        <f t="shared" si="7"/>
        <v>2900</v>
      </c>
      <c r="O89" s="1858"/>
      <c r="P89" s="1858"/>
      <c r="Q89" s="1858"/>
      <c r="R89" s="1858"/>
      <c r="S89" s="1858"/>
      <c r="T89" s="1858"/>
      <c r="U89" s="1682">
        <f t="shared" si="8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9">H93</f>
        <v>1314.0283399999998</v>
      </c>
      <c r="I92" s="529">
        <f t="shared" si="9"/>
        <v>213.5</v>
      </c>
      <c r="J92" s="269">
        <f t="shared" si="9"/>
        <v>213.5</v>
      </c>
      <c r="K92" s="1858"/>
      <c r="L92" s="1858"/>
      <c r="M92" s="1858"/>
      <c r="N92" s="1200">
        <f t="shared" ref="N92:N94" si="10">N93</f>
        <v>500</v>
      </c>
      <c r="O92" s="1858"/>
      <c r="P92" s="1858"/>
      <c r="Q92" s="1858"/>
      <c r="R92" s="1858"/>
      <c r="S92" s="1858"/>
      <c r="T92" s="1858"/>
      <c r="U92" s="1682">
        <f t="shared" ref="U92:U94" si="11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9"/>
        <v>1314.0283399999998</v>
      </c>
      <c r="I93" s="529">
        <f t="shared" si="9"/>
        <v>213.5</v>
      </c>
      <c r="J93" s="269">
        <f t="shared" si="9"/>
        <v>213.5</v>
      </c>
      <c r="K93" s="1858"/>
      <c r="L93" s="1858"/>
      <c r="M93" s="1858"/>
      <c r="N93" s="1200">
        <f t="shared" si="10"/>
        <v>500</v>
      </c>
      <c r="O93" s="1858"/>
      <c r="P93" s="1858"/>
      <c r="Q93" s="1858"/>
      <c r="R93" s="1858"/>
      <c r="S93" s="1858"/>
      <c r="T93" s="1858"/>
      <c r="U93" s="1682">
        <f t="shared" si="11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9"/>
        <v>1314.0283399999998</v>
      </c>
      <c r="I94" s="529">
        <f t="shared" si="9"/>
        <v>213.5</v>
      </c>
      <c r="J94" s="269">
        <f t="shared" si="9"/>
        <v>213.5</v>
      </c>
      <c r="K94" s="1858"/>
      <c r="L94" s="1858"/>
      <c r="M94" s="1858"/>
      <c r="N94" s="1200">
        <f t="shared" si="10"/>
        <v>500</v>
      </c>
      <c r="O94" s="1858"/>
      <c r="P94" s="1858"/>
      <c r="Q94" s="1858"/>
      <c r="R94" s="1858"/>
      <c r="S94" s="1858"/>
      <c r="T94" s="1858"/>
      <c r="U94" s="1682">
        <f t="shared" si="11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5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5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21" x14ac:dyDescent="0.25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12">H100</f>
        <v>131</v>
      </c>
      <c r="I99" s="841">
        <f t="shared" si="12"/>
        <v>598.5</v>
      </c>
      <c r="J99" s="276">
        <f t="shared" si="12"/>
        <v>598.5</v>
      </c>
      <c r="K99" s="1858"/>
      <c r="L99" s="1858"/>
      <c r="M99" s="1858"/>
      <c r="N99" s="1208">
        <f t="shared" ref="N99:N100" si="13">N100</f>
        <v>0</v>
      </c>
      <c r="O99" s="1858"/>
      <c r="P99" s="1858"/>
      <c r="Q99" s="1858"/>
      <c r="R99" s="1858"/>
      <c r="S99" s="1858"/>
      <c r="T99" s="1858"/>
      <c r="U99" s="1683">
        <f t="shared" ref="U99:U100" si="14">U100</f>
        <v>0</v>
      </c>
    </row>
    <row r="100" spans="1:25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12"/>
        <v>131</v>
      </c>
      <c r="I100" s="529">
        <f t="shared" si="12"/>
        <v>598.5</v>
      </c>
      <c r="J100" s="269">
        <f t="shared" si="12"/>
        <v>598.5</v>
      </c>
      <c r="K100" s="1858"/>
      <c r="L100" s="1858"/>
      <c r="M100" s="1858"/>
      <c r="N100" s="1200">
        <f t="shared" si="13"/>
        <v>0</v>
      </c>
      <c r="O100" s="1858"/>
      <c r="P100" s="1858"/>
      <c r="Q100" s="1858"/>
      <c r="R100" s="1858"/>
      <c r="S100" s="1858"/>
      <c r="T100" s="1858"/>
      <c r="U100" s="1682">
        <f t="shared" si="14"/>
        <v>0</v>
      </c>
    </row>
    <row r="101" spans="1:25" x14ac:dyDescent="0.25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5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5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1" hidden="1" x14ac:dyDescent="0.25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5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2" hidden="1" x14ac:dyDescent="0.25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5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1" hidden="1" x14ac:dyDescent="0.25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5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15">I110</f>
        <v>0</v>
      </c>
      <c r="J109" s="276">
        <f t="shared" si="15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5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15"/>
        <v>0</v>
      </c>
      <c r="J110" s="276">
        <f t="shared" si="15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21" x14ac:dyDescent="0.25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15"/>
        <v>0</v>
      </c>
      <c r="J111" s="276">
        <f t="shared" si="15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15"/>
        <v>0</v>
      </c>
      <c r="J112" s="269">
        <f t="shared" si="15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5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15"/>
        <v>0</v>
      </c>
      <c r="J113" s="269">
        <f t="shared" si="15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1" x14ac:dyDescent="0.25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5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1" x14ac:dyDescent="0.25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5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3" x14ac:dyDescent="0.25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1" x14ac:dyDescent="0.25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2" x14ac:dyDescent="0.25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21" x14ac:dyDescent="0.25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1" x14ac:dyDescent="0.25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1" x14ac:dyDescent="0.25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5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1" hidden="1" x14ac:dyDescent="0.25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5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1" hidden="1" x14ac:dyDescent="0.25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5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5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1" x14ac:dyDescent="0.25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1" hidden="1" x14ac:dyDescent="0.25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5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1" x14ac:dyDescent="0.25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5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1" x14ac:dyDescent="0.25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21" x14ac:dyDescent="0.25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5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5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5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5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5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5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5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5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 t="shared" ref="I144:J145" si="16">I145</f>
        <v>0</v>
      </c>
      <c r="J144" s="276">
        <f t="shared" si="16"/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1.5" x14ac:dyDescent="0.25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 t="shared" si="16"/>
        <v>0</v>
      </c>
      <c r="J145" s="269">
        <f t="shared" si="16"/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5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1" x14ac:dyDescent="0.25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5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5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5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1" x14ac:dyDescent="0.25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2.5" x14ac:dyDescent="0.25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5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1" x14ac:dyDescent="0.25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1" x14ac:dyDescent="0.25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6" hidden="1" x14ac:dyDescent="0.3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1" hidden="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1.5" x14ac:dyDescent="0.25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x14ac:dyDescent="0.25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5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1" x14ac:dyDescent="0.25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1" x14ac:dyDescent="0.25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1" x14ac:dyDescent="0.25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5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1" hidden="1" x14ac:dyDescent="0.25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1.5" hidden="1" x14ac:dyDescent="0.25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17">H168</f>
        <v>0</v>
      </c>
      <c r="I167" s="529">
        <f t="shared" si="17"/>
        <v>0</v>
      </c>
      <c r="J167" s="269">
        <f t="shared" si="17"/>
        <v>0</v>
      </c>
      <c r="K167" s="1858"/>
      <c r="L167" s="1858"/>
      <c r="M167" s="1858"/>
      <c r="N167" s="1200">
        <f t="shared" ref="N167:N168" si="18">N168</f>
        <v>0</v>
      </c>
      <c r="O167" s="1858"/>
      <c r="P167" s="1858"/>
      <c r="Q167" s="1858"/>
      <c r="R167" s="1858"/>
      <c r="S167" s="1858"/>
      <c r="T167" s="1858"/>
      <c r="U167" s="1682">
        <f t="shared" ref="U167:U168" si="19">U168</f>
        <v>0</v>
      </c>
    </row>
    <row r="168" spans="1:24" ht="31.5" hidden="1" x14ac:dyDescent="0.25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17"/>
        <v>0</v>
      </c>
      <c r="I168" s="529">
        <f t="shared" si="17"/>
        <v>0</v>
      </c>
      <c r="J168" s="269">
        <f t="shared" si="17"/>
        <v>0</v>
      </c>
      <c r="K168" s="1858"/>
      <c r="L168" s="1858"/>
      <c r="M168" s="1858"/>
      <c r="N168" s="1200">
        <f t="shared" si="18"/>
        <v>0</v>
      </c>
      <c r="O168" s="1858"/>
      <c r="P168" s="1858"/>
      <c r="Q168" s="1858"/>
      <c r="R168" s="1858"/>
      <c r="S168" s="1858"/>
      <c r="T168" s="1858"/>
      <c r="U168" s="1682">
        <f t="shared" si="19"/>
        <v>0</v>
      </c>
    </row>
    <row r="169" spans="1:24" hidden="1" x14ac:dyDescent="0.25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2" hidden="1" x14ac:dyDescent="0.25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1" hidden="1" x14ac:dyDescent="0.25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1.5" hidden="1" x14ac:dyDescent="0.25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1" hidden="1" x14ac:dyDescent="0.25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31.5" hidden="1" x14ac:dyDescent="0.25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1" hidden="1" x14ac:dyDescent="0.25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21" hidden="1" x14ac:dyDescent="0.25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20">H178</f>
        <v>0</v>
      </c>
      <c r="I177" s="841">
        <f t="shared" si="20"/>
        <v>0</v>
      </c>
      <c r="J177" s="276">
        <f t="shared" si="20"/>
        <v>0</v>
      </c>
      <c r="K177" s="1858"/>
      <c r="L177" s="1858"/>
      <c r="M177" s="1858"/>
      <c r="N177" s="1200">
        <f t="shared" ref="N177:N180" si="21">N178</f>
        <v>0</v>
      </c>
      <c r="O177" s="1858"/>
      <c r="P177" s="1858"/>
      <c r="Q177" s="1858"/>
      <c r="R177" s="1858"/>
      <c r="S177" s="1858"/>
      <c r="T177" s="1858"/>
      <c r="U177" s="1682">
        <f t="shared" ref="U177:U180" si="22">U178</f>
        <v>0</v>
      </c>
    </row>
    <row r="178" spans="1:21" hidden="1" x14ac:dyDescent="0.25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20"/>
        <v>0</v>
      </c>
      <c r="I178" s="841">
        <f t="shared" si="20"/>
        <v>0</v>
      </c>
      <c r="J178" s="276">
        <f t="shared" si="20"/>
        <v>0</v>
      </c>
      <c r="K178" s="1858"/>
      <c r="L178" s="1858"/>
      <c r="M178" s="1858"/>
      <c r="N178" s="1200">
        <f t="shared" si="21"/>
        <v>0</v>
      </c>
      <c r="O178" s="1858"/>
      <c r="P178" s="1858"/>
      <c r="Q178" s="1858"/>
      <c r="R178" s="1858"/>
      <c r="S178" s="1858"/>
      <c r="T178" s="1858"/>
      <c r="U178" s="1682">
        <f t="shared" si="22"/>
        <v>0</v>
      </c>
    </row>
    <row r="179" spans="1:21" hidden="1" x14ac:dyDescent="0.25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20"/>
        <v>0</v>
      </c>
      <c r="J179" s="276">
        <f t="shared" si="20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1" hidden="1" x14ac:dyDescent="0.25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20"/>
        <v>0</v>
      </c>
      <c r="I180" s="529">
        <f t="shared" si="20"/>
        <v>0</v>
      </c>
      <c r="J180" s="269">
        <f t="shared" si="20"/>
        <v>0</v>
      </c>
      <c r="K180" s="1858"/>
      <c r="L180" s="1858"/>
      <c r="M180" s="1858"/>
      <c r="N180" s="1200">
        <f t="shared" si="21"/>
        <v>0</v>
      </c>
      <c r="O180" s="1858"/>
      <c r="P180" s="1858"/>
      <c r="Q180" s="1858"/>
      <c r="R180" s="1858"/>
      <c r="S180" s="1858"/>
      <c r="T180" s="1858"/>
      <c r="U180" s="1682">
        <f t="shared" si="22"/>
        <v>0</v>
      </c>
    </row>
    <row r="181" spans="1:21" ht="21" hidden="1" x14ac:dyDescent="0.25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5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1.5" x14ac:dyDescent="0.25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23">H184</f>
        <v>330</v>
      </c>
      <c r="I183" s="529">
        <f t="shared" si="23"/>
        <v>315</v>
      </c>
      <c r="J183" s="270">
        <f t="shared" si="23"/>
        <v>320</v>
      </c>
      <c r="K183" s="1862">
        <f>330</f>
        <v>330</v>
      </c>
      <c r="L183" s="1858"/>
      <c r="M183" s="1858"/>
      <c r="N183" s="1200">
        <f t="shared" ref="N183:N185" si="24">N184</f>
        <v>330</v>
      </c>
      <c r="O183" s="1858"/>
      <c r="P183" s="1858"/>
      <c r="Q183" s="1858"/>
      <c r="R183" s="1858"/>
      <c r="S183" s="1858"/>
      <c r="T183" s="1858"/>
      <c r="U183" s="1682">
        <f t="shared" ref="U183:U185" si="25">U184</f>
        <v>350</v>
      </c>
    </row>
    <row r="184" spans="1:21" ht="31.5" x14ac:dyDescent="0.25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23"/>
        <v>330</v>
      </c>
      <c r="I184" s="529">
        <f t="shared" si="23"/>
        <v>315</v>
      </c>
      <c r="J184" s="270">
        <f t="shared" si="23"/>
        <v>320</v>
      </c>
      <c r="K184" s="1858"/>
      <c r="L184" s="1858"/>
      <c r="M184" s="1858"/>
      <c r="N184" s="1200">
        <f t="shared" si="24"/>
        <v>330</v>
      </c>
      <c r="O184" s="1858"/>
      <c r="P184" s="1858"/>
      <c r="Q184" s="1858"/>
      <c r="R184" s="1858"/>
      <c r="S184" s="1858"/>
      <c r="T184" s="1858"/>
      <c r="U184" s="1682">
        <f t="shared" si="25"/>
        <v>350</v>
      </c>
    </row>
    <row r="185" spans="1:21" ht="21" x14ac:dyDescent="0.25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23"/>
        <v>330</v>
      </c>
      <c r="I185" s="529">
        <f t="shared" si="23"/>
        <v>315</v>
      </c>
      <c r="J185" s="270">
        <f t="shared" si="23"/>
        <v>320</v>
      </c>
      <c r="K185" s="1858"/>
      <c r="L185" s="1858"/>
      <c r="M185" s="1858"/>
      <c r="N185" s="1200">
        <f t="shared" si="24"/>
        <v>330</v>
      </c>
      <c r="O185" s="1858"/>
      <c r="P185" s="1858"/>
      <c r="Q185" s="1858"/>
      <c r="R185" s="1858"/>
      <c r="S185" s="1858"/>
      <c r="T185" s="1858"/>
      <c r="U185" s="1682">
        <f t="shared" si="25"/>
        <v>350</v>
      </c>
    </row>
    <row r="186" spans="1:21" ht="21" x14ac:dyDescent="0.25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21" x14ac:dyDescent="0.25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26">I188</f>
        <v>0</v>
      </c>
      <c r="J187" s="270">
        <f t="shared" si="26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5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26"/>
        <v>1651.854</v>
      </c>
      <c r="I188" s="529">
        <f t="shared" si="26"/>
        <v>0</v>
      </c>
      <c r="J188" s="270">
        <f t="shared" si="26"/>
        <v>0</v>
      </c>
      <c r="K188" s="1858"/>
      <c r="L188" s="1858"/>
      <c r="M188" s="1858"/>
      <c r="N188" s="1200">
        <f t="shared" ref="N188" si="27">N189</f>
        <v>1406.4</v>
      </c>
      <c r="O188" s="1858"/>
      <c r="P188" s="1858"/>
      <c r="Q188" s="1858"/>
      <c r="R188" s="1858"/>
      <c r="S188" s="1858"/>
      <c r="T188" s="1858"/>
      <c r="U188" s="1682">
        <f t="shared" ref="U188" si="28">U189</f>
        <v>552.69999999999993</v>
      </c>
    </row>
    <row r="189" spans="1:21" x14ac:dyDescent="0.25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5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1" x14ac:dyDescent="0.25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5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1" x14ac:dyDescent="0.25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5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1" x14ac:dyDescent="0.25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5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5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5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1.5" hidden="1" x14ac:dyDescent="0.25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5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idden="1" x14ac:dyDescent="0.25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1.5" hidden="1" x14ac:dyDescent="0.25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idden="1" x14ac:dyDescent="0.25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1" hidden="1" x14ac:dyDescent="0.25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idden="1" x14ac:dyDescent="0.25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1.5" hidden="1" x14ac:dyDescent="0.25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idden="1" x14ac:dyDescent="0.25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5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29">H209</f>
        <v>2185.335</v>
      </c>
      <c r="I208" s="529">
        <f t="shared" si="29"/>
        <v>799.11500000000001</v>
      </c>
      <c r="J208" s="270">
        <f t="shared" si="29"/>
        <v>895.01</v>
      </c>
      <c r="K208" s="1858"/>
      <c r="L208" s="1858"/>
      <c r="M208" s="1858"/>
      <c r="N208" s="1200">
        <f t="shared" ref="N208:N209" si="30">N209</f>
        <v>947.01</v>
      </c>
      <c r="O208" s="1858"/>
      <c r="P208" s="1858"/>
      <c r="Q208" s="1858"/>
      <c r="R208" s="1858"/>
      <c r="S208" s="1858"/>
      <c r="T208" s="1858"/>
      <c r="U208" s="1682">
        <f t="shared" ref="U208:U209" si="31">U209</f>
        <v>947.01</v>
      </c>
    </row>
    <row r="209" spans="1:21" x14ac:dyDescent="0.25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29"/>
        <v>2185.335</v>
      </c>
      <c r="I209" s="529">
        <f t="shared" si="29"/>
        <v>799.11500000000001</v>
      </c>
      <c r="J209" s="270">
        <f t="shared" si="29"/>
        <v>895.01</v>
      </c>
      <c r="K209" s="1858"/>
      <c r="L209" s="1858"/>
      <c r="M209" s="1858"/>
      <c r="N209" s="1200">
        <f t="shared" si="30"/>
        <v>947.01</v>
      </c>
      <c r="O209" s="1858"/>
      <c r="P209" s="1858"/>
      <c r="Q209" s="1858"/>
      <c r="R209" s="1858"/>
      <c r="S209" s="1858"/>
      <c r="T209" s="1858"/>
      <c r="U209" s="1682">
        <f t="shared" si="31"/>
        <v>947.01</v>
      </c>
    </row>
    <row r="210" spans="1:21" x14ac:dyDescent="0.25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5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1" hidden="1" x14ac:dyDescent="0.25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5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1" hidden="1" x14ac:dyDescent="0.25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x14ac:dyDescent="0.25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1" x14ac:dyDescent="0.25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5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1" x14ac:dyDescent="0.25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5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5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1" x14ac:dyDescent="0.25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 t="shared" ref="I221:J222" si="32">I222</f>
        <v>48</v>
      </c>
      <c r="J221" s="270">
        <f t="shared" si="32"/>
        <v>816.12</v>
      </c>
      <c r="K221" s="1862">
        <f>K224</f>
        <v>3500.703</v>
      </c>
      <c r="L221" s="1858"/>
      <c r="M221" s="1858"/>
      <c r="N221" s="1200">
        <f t="shared" ref="N221:N222" si="33">N222</f>
        <v>4981.808</v>
      </c>
      <c r="O221" s="1858"/>
      <c r="P221" s="1858"/>
      <c r="Q221" s="1858"/>
      <c r="R221" s="1858"/>
      <c r="S221" s="1858"/>
      <c r="T221" s="1858"/>
      <c r="U221" s="1682">
        <f t="shared" ref="U221" si="34">U222</f>
        <v>5143</v>
      </c>
    </row>
    <row r="222" spans="1:21" x14ac:dyDescent="0.25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 t="shared" si="32"/>
        <v>48</v>
      </c>
      <c r="J222" s="270">
        <f t="shared" si="32"/>
        <v>816.12</v>
      </c>
      <c r="K222" s="1858"/>
      <c r="L222" s="1858"/>
      <c r="M222" s="1858"/>
      <c r="N222" s="1200">
        <f t="shared" si="33"/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1" x14ac:dyDescent="0.25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5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5" customHeight="1" x14ac:dyDescent="0.25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5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5" customHeight="1" x14ac:dyDescent="0.25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1" x14ac:dyDescent="0.25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5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5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5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5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1" hidden="1" x14ac:dyDescent="0.25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1" x14ac:dyDescent="0.25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5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1" x14ac:dyDescent="0.25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5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5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35">I239</f>
        <v>0</v>
      </c>
      <c r="J238" s="270">
        <f t="shared" si="35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5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35"/>
        <v>0</v>
      </c>
      <c r="J239" s="270">
        <f t="shared" si="35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1" hidden="1" x14ac:dyDescent="0.25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35"/>
        <v>0</v>
      </c>
      <c r="J240" s="270">
        <f t="shared" si="35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5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31.5" hidden="1" x14ac:dyDescent="0.25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5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5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5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1" hidden="1" x14ac:dyDescent="0.25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5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5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5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21" x14ac:dyDescent="0.25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5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5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1" x14ac:dyDescent="0.25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1" x14ac:dyDescent="0.25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5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5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1.5" x14ac:dyDescent="0.25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5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1" x14ac:dyDescent="0.25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5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31.5" hidden="1" x14ac:dyDescent="0.25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1.5" hidden="1" x14ac:dyDescent="0.25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36">I264</f>
        <v>3500</v>
      </c>
      <c r="J263" s="269">
        <f t="shared" si="36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5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36"/>
        <v>0</v>
      </c>
      <c r="I264" s="529">
        <f t="shared" si="36"/>
        <v>3500</v>
      </c>
      <c r="J264" s="269">
        <f t="shared" si="36"/>
        <v>3500</v>
      </c>
      <c r="K264" s="1858"/>
      <c r="L264" s="1858"/>
      <c r="M264" s="1858"/>
      <c r="N264" s="1200">
        <f t="shared" ref="N264:N265" si="37">N265</f>
        <v>0</v>
      </c>
      <c r="O264" s="1858"/>
      <c r="P264" s="1858"/>
      <c r="Q264" s="1858"/>
      <c r="R264" s="1858"/>
      <c r="S264" s="1858"/>
      <c r="T264" s="1858"/>
      <c r="U264" s="1682">
        <f t="shared" ref="U264:U265" si="38">U265</f>
        <v>0</v>
      </c>
    </row>
    <row r="265" spans="1:21" hidden="1" x14ac:dyDescent="0.25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36"/>
        <v>0</v>
      </c>
      <c r="I265" s="529">
        <f t="shared" si="36"/>
        <v>3500</v>
      </c>
      <c r="J265" s="269">
        <f t="shared" si="36"/>
        <v>3500</v>
      </c>
      <c r="K265" s="1858"/>
      <c r="L265" s="1858"/>
      <c r="M265" s="1858"/>
      <c r="N265" s="1200">
        <f t="shared" si="37"/>
        <v>0</v>
      </c>
      <c r="O265" s="1858"/>
      <c r="P265" s="1858"/>
      <c r="Q265" s="1858"/>
      <c r="R265" s="1858"/>
      <c r="S265" s="1858"/>
      <c r="T265" s="1858"/>
      <c r="U265" s="1682">
        <f t="shared" si="38"/>
        <v>0</v>
      </c>
    </row>
    <row r="266" spans="1:21" ht="21" hidden="1" x14ac:dyDescent="0.25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1" hidden="1" x14ac:dyDescent="0.25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1.5" hidden="1" x14ac:dyDescent="0.25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idden="1" x14ac:dyDescent="0.25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1" hidden="1" x14ac:dyDescent="0.25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1" hidden="1" x14ac:dyDescent="0.25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1" hidden="1" x14ac:dyDescent="0.25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1" hidden="1" x14ac:dyDescent="0.25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5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5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5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5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3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5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5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5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5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7" customHeight="1" x14ac:dyDescent="0.25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5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5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5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5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5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5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5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5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5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5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5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5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5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5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5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5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5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5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5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5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5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5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5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5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5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5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39">H311</f>
        <v>348</v>
      </c>
      <c r="I310" s="841">
        <f t="shared" si="39"/>
        <v>302</v>
      </c>
      <c r="J310" s="276">
        <f t="shared" si="39"/>
        <v>337</v>
      </c>
      <c r="K310" s="1858"/>
      <c r="L310" s="1858"/>
      <c r="M310" s="1858"/>
      <c r="N310" s="1208">
        <f t="shared" ref="N310:N312" si="40">N311</f>
        <v>362</v>
      </c>
      <c r="O310" s="1858"/>
      <c r="P310" s="1858"/>
      <c r="Q310" s="1858"/>
      <c r="R310" s="1858"/>
      <c r="S310" s="1858"/>
      <c r="T310" s="1858"/>
      <c r="U310" s="1683">
        <f t="shared" ref="U310:U312" si="41">U311</f>
        <v>377</v>
      </c>
    </row>
    <row r="311" spans="1:21" x14ac:dyDescent="0.25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39"/>
        <v>348</v>
      </c>
      <c r="I311" s="841">
        <f t="shared" si="39"/>
        <v>302</v>
      </c>
      <c r="J311" s="276">
        <f t="shared" si="39"/>
        <v>337</v>
      </c>
      <c r="K311" s="1858"/>
      <c r="L311" s="1858"/>
      <c r="M311" s="1858"/>
      <c r="N311" s="1208">
        <f t="shared" si="40"/>
        <v>362</v>
      </c>
      <c r="O311" s="1858"/>
      <c r="P311" s="1858"/>
      <c r="Q311" s="1858"/>
      <c r="R311" s="1858"/>
      <c r="S311" s="1858"/>
      <c r="T311" s="1858"/>
      <c r="U311" s="1683">
        <f t="shared" si="41"/>
        <v>377</v>
      </c>
    </row>
    <row r="312" spans="1:21" ht="21" x14ac:dyDescent="0.25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39"/>
        <v>348</v>
      </c>
      <c r="I312" s="529">
        <f t="shared" si="39"/>
        <v>302</v>
      </c>
      <c r="J312" s="269">
        <f t="shared" si="39"/>
        <v>337</v>
      </c>
      <c r="K312" s="1858"/>
      <c r="L312" s="1858"/>
      <c r="M312" s="1858"/>
      <c r="N312" s="1200">
        <f t="shared" si="40"/>
        <v>362</v>
      </c>
      <c r="O312" s="1858"/>
      <c r="P312" s="1858"/>
      <c r="Q312" s="1858"/>
      <c r="R312" s="1858"/>
      <c r="S312" s="1858"/>
      <c r="T312" s="1858"/>
      <c r="U312" s="1682">
        <f t="shared" si="41"/>
        <v>377</v>
      </c>
    </row>
    <row r="313" spans="1:21" ht="21" x14ac:dyDescent="0.25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31.5" hidden="1" x14ac:dyDescent="0.25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42">H315</f>
        <v>0</v>
      </c>
      <c r="I314" s="529">
        <f t="shared" si="42"/>
        <v>0</v>
      </c>
      <c r="J314" s="269">
        <f t="shared" si="42"/>
        <v>0</v>
      </c>
      <c r="K314" s="1858"/>
      <c r="L314" s="1858"/>
      <c r="M314" s="1858"/>
      <c r="N314" s="1200">
        <f t="shared" ref="N314:N315" si="43">N315</f>
        <v>0</v>
      </c>
      <c r="O314" s="1858"/>
      <c r="P314" s="1858"/>
      <c r="Q314" s="1858"/>
      <c r="R314" s="1858"/>
      <c r="S314" s="1858"/>
      <c r="T314" s="1858"/>
      <c r="U314" s="1682">
        <f t="shared" ref="U314:U315" si="44">U315</f>
        <v>0</v>
      </c>
    </row>
    <row r="315" spans="1:21" hidden="1" x14ac:dyDescent="0.25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42"/>
        <v>0</v>
      </c>
      <c r="I315" s="529">
        <f t="shared" si="42"/>
        <v>0</v>
      </c>
      <c r="J315" s="269">
        <f t="shared" si="42"/>
        <v>0</v>
      </c>
      <c r="K315" s="1858"/>
      <c r="L315" s="1858"/>
      <c r="M315" s="1858"/>
      <c r="N315" s="1200">
        <f t="shared" si="43"/>
        <v>0</v>
      </c>
      <c r="O315" s="1858"/>
      <c r="P315" s="1858"/>
      <c r="Q315" s="1858"/>
      <c r="R315" s="1858"/>
      <c r="S315" s="1858"/>
      <c r="T315" s="1858"/>
      <c r="U315" s="1682">
        <f t="shared" si="44"/>
        <v>0</v>
      </c>
    </row>
    <row r="316" spans="1:21" ht="21" hidden="1" x14ac:dyDescent="0.25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1" x14ac:dyDescent="0.25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5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1" x14ac:dyDescent="0.25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5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 t="shared" ref="H320:J320" si="45">H321</f>
        <v>250</v>
      </c>
      <c r="I320" s="529">
        <f t="shared" si="45"/>
        <v>302</v>
      </c>
      <c r="J320" s="269">
        <f t="shared" si="45"/>
        <v>337</v>
      </c>
      <c r="K320" s="1858"/>
      <c r="L320" s="1858"/>
      <c r="M320" s="1858"/>
      <c r="N320" s="1200">
        <f t="shared" ref="N320" si="46">N321</f>
        <v>260</v>
      </c>
      <c r="O320" s="1858"/>
      <c r="P320" s="1858"/>
      <c r="Q320" s="1858"/>
      <c r="R320" s="1858"/>
      <c r="S320" s="1858"/>
      <c r="T320" s="1858"/>
      <c r="U320" s="1682">
        <f t="shared" ref="U320" si="47">U321</f>
        <v>270</v>
      </c>
    </row>
    <row r="321" spans="1:25" ht="21" x14ac:dyDescent="0.25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ht="13" x14ac:dyDescent="0.3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5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5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48">I325</f>
        <v>0</v>
      </c>
      <c r="J324" s="276">
        <f t="shared" si="48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5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48"/>
        <v>0</v>
      </c>
      <c r="J325" s="269">
        <f t="shared" si="48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5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48"/>
        <v>0</v>
      </c>
      <c r="J326" s="1656">
        <f t="shared" si="48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5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48"/>
        <v>0</v>
      </c>
      <c r="J327" s="1656">
        <f t="shared" si="48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5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1" x14ac:dyDescent="0.25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5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21" hidden="1" x14ac:dyDescent="0.3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5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5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5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5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5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5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ht="13" x14ac:dyDescent="0.3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1" x14ac:dyDescent="0.25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5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5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5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x14ac:dyDescent="0.25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1" hidden="1" x14ac:dyDescent="0.25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5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5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49">H347</f>
        <v>710.16499999999996</v>
      </c>
      <c r="I346" s="841">
        <f t="shared" si="49"/>
        <v>531.38</v>
      </c>
      <c r="J346" s="277">
        <f t="shared" si="49"/>
        <v>584.51300000000003</v>
      </c>
      <c r="K346" s="1862">
        <v>615.01599999999996</v>
      </c>
      <c r="L346" s="1858"/>
      <c r="M346" s="1858"/>
      <c r="N346" s="1208">
        <f t="shared" ref="N346:N350" si="50">N347</f>
        <v>639.61699999999996</v>
      </c>
      <c r="O346" s="1858"/>
      <c r="P346" s="1858"/>
      <c r="Q346" s="1858"/>
      <c r="R346" s="1858"/>
      <c r="S346" s="1858"/>
      <c r="T346" s="1858"/>
      <c r="U346" s="1683">
        <f t="shared" ref="U346:U350" si="51">U347</f>
        <v>665.20100000000002</v>
      </c>
    </row>
    <row r="347" spans="1:24" ht="21" x14ac:dyDescent="0.25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49"/>
        <v>710.16499999999996</v>
      </c>
      <c r="I347" s="841">
        <f t="shared" si="49"/>
        <v>531.38</v>
      </c>
      <c r="J347" s="277">
        <f t="shared" si="49"/>
        <v>584.51300000000003</v>
      </c>
      <c r="K347" s="1858"/>
      <c r="L347" s="1858"/>
      <c r="M347" s="1858"/>
      <c r="N347" s="1208">
        <f t="shared" si="50"/>
        <v>639.61699999999996</v>
      </c>
      <c r="O347" s="1858"/>
      <c r="P347" s="1858"/>
      <c r="Q347" s="1858"/>
      <c r="R347" s="1858"/>
      <c r="S347" s="1858"/>
      <c r="T347" s="1858"/>
      <c r="U347" s="1683">
        <f t="shared" si="51"/>
        <v>665.20100000000002</v>
      </c>
    </row>
    <row r="348" spans="1:24" x14ac:dyDescent="0.25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49"/>
        <v>710.16499999999996</v>
      </c>
      <c r="I348" s="529">
        <f t="shared" si="49"/>
        <v>531.38</v>
      </c>
      <c r="J348" s="270">
        <f t="shared" si="49"/>
        <v>584.51300000000003</v>
      </c>
      <c r="K348" s="1858"/>
      <c r="L348" s="1858"/>
      <c r="M348" s="1858"/>
      <c r="N348" s="1200">
        <f t="shared" si="50"/>
        <v>639.61699999999996</v>
      </c>
      <c r="O348" s="1858"/>
      <c r="P348" s="1858"/>
      <c r="Q348" s="1858"/>
      <c r="R348" s="1858"/>
      <c r="S348" s="1858"/>
      <c r="T348" s="1858"/>
      <c r="U348" s="1682">
        <f t="shared" si="51"/>
        <v>665.20100000000002</v>
      </c>
    </row>
    <row r="349" spans="1:24" x14ac:dyDescent="0.25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49"/>
        <v>710.16499999999996</v>
      </c>
      <c r="I349" s="529">
        <f t="shared" si="49"/>
        <v>531.38</v>
      </c>
      <c r="J349" s="270">
        <f t="shared" si="49"/>
        <v>584.51300000000003</v>
      </c>
      <c r="K349" s="1858"/>
      <c r="L349" s="1858"/>
      <c r="M349" s="1858"/>
      <c r="N349" s="1200">
        <f t="shared" si="50"/>
        <v>639.61699999999996</v>
      </c>
      <c r="O349" s="1858"/>
      <c r="P349" s="1858"/>
      <c r="Q349" s="1858"/>
      <c r="R349" s="1858"/>
      <c r="S349" s="1858"/>
      <c r="T349" s="1858"/>
      <c r="U349" s="1682">
        <f t="shared" si="51"/>
        <v>665.20100000000002</v>
      </c>
    </row>
    <row r="350" spans="1:24" x14ac:dyDescent="0.25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49"/>
        <v>710.16499999999996</v>
      </c>
      <c r="I350" s="529">
        <f t="shared" si="49"/>
        <v>531.38</v>
      </c>
      <c r="J350" s="270">
        <f t="shared" si="49"/>
        <v>584.51300000000003</v>
      </c>
      <c r="K350" s="1858"/>
      <c r="L350" s="1858"/>
      <c r="M350" s="1858"/>
      <c r="N350" s="1200">
        <f t="shared" si="50"/>
        <v>639.61699999999996</v>
      </c>
      <c r="O350" s="1858"/>
      <c r="P350" s="1858"/>
      <c r="Q350" s="1858"/>
      <c r="R350" s="1858"/>
      <c r="S350" s="1858"/>
      <c r="T350" s="1858"/>
      <c r="U350" s="1682">
        <f t="shared" si="51"/>
        <v>665.20100000000002</v>
      </c>
    </row>
    <row r="351" spans="1:24" x14ac:dyDescent="0.25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5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52">H353</f>
        <v>0</v>
      </c>
      <c r="I352" s="841">
        <f t="shared" si="52"/>
        <v>585.81999999999994</v>
      </c>
      <c r="J352" s="277">
        <f t="shared" si="52"/>
        <v>610.88699999999994</v>
      </c>
      <c r="K352" s="1858"/>
      <c r="L352" s="1858"/>
      <c r="M352" s="1858"/>
      <c r="N352" s="1208">
        <f t="shared" ref="N352:N355" si="53">N353</f>
        <v>0</v>
      </c>
      <c r="O352" s="1858"/>
      <c r="P352" s="1858"/>
      <c r="Q352" s="1858"/>
      <c r="R352" s="1858"/>
      <c r="S352" s="1858"/>
      <c r="T352" s="1858"/>
      <c r="U352" s="1683">
        <f t="shared" ref="U352:U355" si="54">U353</f>
        <v>0</v>
      </c>
    </row>
    <row r="353" spans="1:21" ht="31.5" hidden="1" x14ac:dyDescent="0.25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52"/>
        <v>585.81999999999994</v>
      </c>
      <c r="J353" s="277">
        <f t="shared" si="52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5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52"/>
        <v>0</v>
      </c>
      <c r="I354" s="529">
        <f t="shared" si="52"/>
        <v>585.81999999999994</v>
      </c>
      <c r="J354" s="270">
        <f t="shared" si="52"/>
        <v>610.88699999999994</v>
      </c>
      <c r="K354" s="1858"/>
      <c r="L354" s="1858"/>
      <c r="M354" s="1858"/>
      <c r="N354" s="1200">
        <f t="shared" si="53"/>
        <v>0</v>
      </c>
      <c r="O354" s="1858"/>
      <c r="P354" s="1858"/>
      <c r="Q354" s="1858"/>
      <c r="R354" s="1858"/>
      <c r="S354" s="1858"/>
      <c r="T354" s="1858"/>
      <c r="U354" s="1682">
        <f t="shared" si="54"/>
        <v>0</v>
      </c>
    </row>
    <row r="355" spans="1:21" hidden="1" x14ac:dyDescent="0.25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52"/>
        <v>0</v>
      </c>
      <c r="I355" s="529">
        <f t="shared" si="52"/>
        <v>585.81999999999994</v>
      </c>
      <c r="J355" s="270">
        <f t="shared" si="52"/>
        <v>610.88699999999994</v>
      </c>
      <c r="K355" s="1858"/>
      <c r="L355" s="1858"/>
      <c r="M355" s="1858"/>
      <c r="N355" s="1200">
        <f t="shared" si="53"/>
        <v>0</v>
      </c>
      <c r="O355" s="1858"/>
      <c r="P355" s="1858"/>
      <c r="Q355" s="1858"/>
      <c r="R355" s="1858"/>
      <c r="S355" s="1858"/>
      <c r="T355" s="1858"/>
      <c r="U355" s="1682">
        <f t="shared" si="54"/>
        <v>0</v>
      </c>
    </row>
    <row r="356" spans="1:21" ht="35.25" hidden="1" customHeight="1" x14ac:dyDescent="0.25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idden="1" x14ac:dyDescent="0.25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1" hidden="1" x14ac:dyDescent="0.25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idden="1" x14ac:dyDescent="0.25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1.5" hidden="1" x14ac:dyDescent="0.25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idden="1" x14ac:dyDescent="0.25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idden="1" x14ac:dyDescent="0.25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5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5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55">H365</f>
        <v>0</v>
      </c>
      <c r="I364" s="841">
        <f t="shared" si="55"/>
        <v>0</v>
      </c>
      <c r="J364" s="277">
        <f t="shared" si="55"/>
        <v>0</v>
      </c>
      <c r="K364" s="1858"/>
      <c r="L364" s="1858"/>
      <c r="M364" s="1858"/>
      <c r="N364" s="1208">
        <f t="shared" ref="N364:N367" si="56">N365</f>
        <v>0</v>
      </c>
      <c r="O364" s="1858"/>
      <c r="P364" s="1858"/>
      <c r="Q364" s="1858"/>
      <c r="R364" s="1858"/>
      <c r="S364" s="1858"/>
      <c r="T364" s="1858"/>
      <c r="U364" s="1683">
        <f t="shared" ref="U364:U367" si="57">U365</f>
        <v>0</v>
      </c>
    </row>
    <row r="365" spans="1:21" ht="34.5" hidden="1" x14ac:dyDescent="0.25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55"/>
        <v>0</v>
      </c>
      <c r="I365" s="841">
        <f t="shared" si="55"/>
        <v>0</v>
      </c>
      <c r="J365" s="277">
        <f t="shared" si="55"/>
        <v>0</v>
      </c>
      <c r="K365" s="1858"/>
      <c r="L365" s="1858"/>
      <c r="M365" s="1858"/>
      <c r="N365" s="1208">
        <f t="shared" si="56"/>
        <v>0</v>
      </c>
      <c r="O365" s="1858"/>
      <c r="P365" s="1858"/>
      <c r="Q365" s="1858"/>
      <c r="R365" s="1858"/>
      <c r="S365" s="1858"/>
      <c r="T365" s="1858"/>
      <c r="U365" s="1683">
        <f t="shared" si="57"/>
        <v>0</v>
      </c>
    </row>
    <row r="366" spans="1:21" ht="34.5" hidden="1" x14ac:dyDescent="0.25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55"/>
        <v>0</v>
      </c>
      <c r="I366" s="529">
        <f t="shared" si="55"/>
        <v>0</v>
      </c>
      <c r="J366" s="270">
        <f t="shared" si="55"/>
        <v>0</v>
      </c>
      <c r="K366" s="1858"/>
      <c r="L366" s="1858"/>
      <c r="M366" s="1858"/>
      <c r="N366" s="1200">
        <f t="shared" si="56"/>
        <v>0</v>
      </c>
      <c r="O366" s="1858"/>
      <c r="P366" s="1858"/>
      <c r="Q366" s="1858"/>
      <c r="R366" s="1858"/>
      <c r="S366" s="1858"/>
      <c r="T366" s="1858"/>
      <c r="U366" s="1682">
        <f t="shared" si="57"/>
        <v>0</v>
      </c>
    </row>
    <row r="367" spans="1:21" hidden="1" x14ac:dyDescent="0.25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55"/>
        <v>0</v>
      </c>
      <c r="I367" s="529">
        <f t="shared" si="55"/>
        <v>0</v>
      </c>
      <c r="J367" s="270">
        <f t="shared" si="55"/>
        <v>0</v>
      </c>
      <c r="K367" s="1858"/>
      <c r="L367" s="1858"/>
      <c r="M367" s="1858"/>
      <c r="N367" s="1200">
        <f t="shared" si="56"/>
        <v>0</v>
      </c>
      <c r="O367" s="1858"/>
      <c r="P367" s="1858"/>
      <c r="Q367" s="1858"/>
      <c r="R367" s="1858"/>
      <c r="S367" s="1858"/>
      <c r="T367" s="1858"/>
      <c r="U367" s="1682">
        <f t="shared" si="57"/>
        <v>0</v>
      </c>
    </row>
    <row r="368" spans="1:21" hidden="1" x14ac:dyDescent="0.25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5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3" hidden="1" x14ac:dyDescent="0.25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5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5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5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1" hidden="1" x14ac:dyDescent="0.25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1" hidden="1" x14ac:dyDescent="0.25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58">H376</f>
        <v>0</v>
      </c>
      <c r="I375" s="529">
        <f t="shared" si="58"/>
        <v>0</v>
      </c>
      <c r="J375" s="270">
        <f t="shared" si="58"/>
        <v>0</v>
      </c>
      <c r="K375" s="1858"/>
      <c r="L375" s="1858"/>
      <c r="M375" s="1858"/>
      <c r="N375" s="1200">
        <f t="shared" ref="N375:N376" si="59">N376</f>
        <v>0</v>
      </c>
      <c r="O375" s="1858"/>
      <c r="P375" s="1858"/>
      <c r="Q375" s="1858"/>
      <c r="R375" s="1858"/>
      <c r="S375" s="1858"/>
      <c r="T375" s="1858"/>
      <c r="U375" s="1682">
        <f t="shared" ref="U375:U376" si="60">U376</f>
        <v>0</v>
      </c>
    </row>
    <row r="376" spans="1:21" ht="21" hidden="1" x14ac:dyDescent="0.25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58"/>
        <v>0</v>
      </c>
      <c r="I376" s="529">
        <f t="shared" si="58"/>
        <v>0</v>
      </c>
      <c r="J376" s="270">
        <f t="shared" si="58"/>
        <v>0</v>
      </c>
      <c r="K376" s="1858"/>
      <c r="L376" s="1858"/>
      <c r="M376" s="1858"/>
      <c r="N376" s="1200">
        <f t="shared" si="59"/>
        <v>0</v>
      </c>
      <c r="O376" s="1858"/>
      <c r="P376" s="1858"/>
      <c r="Q376" s="1858"/>
      <c r="R376" s="1858"/>
      <c r="S376" s="1858"/>
      <c r="T376" s="1858"/>
      <c r="U376" s="1682">
        <f t="shared" si="60"/>
        <v>0</v>
      </c>
    </row>
    <row r="377" spans="1:21" hidden="1" x14ac:dyDescent="0.25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idden="1" x14ac:dyDescent="0.25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5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1" hidden="1" x14ac:dyDescent="0.25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5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1" hidden="1" x14ac:dyDescent="0.25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5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1" x14ac:dyDescent="0.25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61">H385</f>
        <v>600</v>
      </c>
      <c r="I384" s="529">
        <f t="shared" si="61"/>
        <v>450</v>
      </c>
      <c r="J384" s="270">
        <f t="shared" si="61"/>
        <v>500</v>
      </c>
      <c r="K384" s="1858"/>
      <c r="L384" s="1858"/>
      <c r="M384" s="1858"/>
      <c r="N384" s="1200">
        <f t="shared" ref="N384:N385" si="62">N385</f>
        <v>650</v>
      </c>
      <c r="O384" s="1858"/>
      <c r="P384" s="1858"/>
      <c r="Q384" s="1858"/>
      <c r="R384" s="1858"/>
      <c r="S384" s="1858"/>
      <c r="T384" s="1858"/>
      <c r="U384" s="1682">
        <f t="shared" ref="U384:U385" si="63">U385</f>
        <v>700</v>
      </c>
    </row>
    <row r="385" spans="1:21" x14ac:dyDescent="0.25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61"/>
        <v>600</v>
      </c>
      <c r="I385" s="529">
        <f t="shared" si="61"/>
        <v>450</v>
      </c>
      <c r="J385" s="270">
        <f t="shared" si="61"/>
        <v>500</v>
      </c>
      <c r="K385" s="1858"/>
      <c r="L385" s="1858"/>
      <c r="M385" s="1858"/>
      <c r="N385" s="1200">
        <f t="shared" si="62"/>
        <v>650</v>
      </c>
      <c r="O385" s="1858"/>
      <c r="P385" s="1858"/>
      <c r="Q385" s="1858"/>
      <c r="R385" s="1858"/>
      <c r="S385" s="1858"/>
      <c r="T385" s="1858"/>
      <c r="U385" s="1682">
        <f t="shared" si="63"/>
        <v>700</v>
      </c>
    </row>
    <row r="386" spans="1:21" ht="21" x14ac:dyDescent="0.25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5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5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5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5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21" x14ac:dyDescent="0.25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idden="1" x14ac:dyDescent="0.25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1.5" thickBot="1" x14ac:dyDescent="0.3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21.5" hidden="1" thickBot="1" x14ac:dyDescent="0.3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64">H395</f>
        <v>0</v>
      </c>
      <c r="I394" s="277">
        <f t="shared" si="64"/>
        <v>0</v>
      </c>
      <c r="J394" s="276">
        <f t="shared" si="64"/>
        <v>0</v>
      </c>
      <c r="K394" s="1858"/>
      <c r="L394" s="1858"/>
      <c r="M394" s="1858"/>
      <c r="N394" s="1263">
        <f t="shared" ref="N394:N396" si="65">N395</f>
        <v>0</v>
      </c>
      <c r="O394" s="1858"/>
      <c r="P394" s="1858"/>
      <c r="Q394" s="1858"/>
      <c r="R394" s="1858"/>
      <c r="S394" s="1858"/>
      <c r="T394" s="1858"/>
      <c r="U394" s="1887">
        <f t="shared" ref="U394:U396" si="66">U395</f>
        <v>0</v>
      </c>
    </row>
    <row r="395" spans="1:21" ht="13" hidden="1" thickBot="1" x14ac:dyDescent="0.3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64"/>
        <v>0</v>
      </c>
      <c r="I395" s="270">
        <f t="shared" si="64"/>
        <v>0</v>
      </c>
      <c r="J395" s="269">
        <f t="shared" si="64"/>
        <v>0</v>
      </c>
      <c r="K395" s="1858"/>
      <c r="L395" s="1858"/>
      <c r="M395" s="1858"/>
      <c r="N395" s="1264">
        <f t="shared" si="65"/>
        <v>0</v>
      </c>
      <c r="O395" s="1858"/>
      <c r="P395" s="1858"/>
      <c r="Q395" s="1858"/>
      <c r="R395" s="1858"/>
      <c r="S395" s="1858"/>
      <c r="T395" s="1858"/>
      <c r="U395" s="1888">
        <f t="shared" si="66"/>
        <v>0</v>
      </c>
    </row>
    <row r="396" spans="1:21" ht="13" hidden="1" thickBot="1" x14ac:dyDescent="0.3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64"/>
        <v>0</v>
      </c>
      <c r="I396" s="270">
        <f t="shared" si="64"/>
        <v>0</v>
      </c>
      <c r="J396" s="269">
        <f t="shared" si="64"/>
        <v>0</v>
      </c>
      <c r="K396" s="1858"/>
      <c r="L396" s="1858"/>
      <c r="M396" s="1858"/>
      <c r="N396" s="1264">
        <f t="shared" si="65"/>
        <v>0</v>
      </c>
      <c r="O396" s="1858"/>
      <c r="P396" s="1858"/>
      <c r="Q396" s="1858"/>
      <c r="R396" s="1858"/>
      <c r="S396" s="1858"/>
      <c r="T396" s="1858"/>
      <c r="U396" s="1888">
        <f t="shared" si="66"/>
        <v>0</v>
      </c>
    </row>
    <row r="397" spans="1:21" ht="20.5" hidden="1" thickBot="1" x14ac:dyDescent="0.3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" hidden="1" thickBot="1" x14ac:dyDescent="0.3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" hidden="1" thickBot="1" x14ac:dyDescent="0.3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" hidden="1" thickBot="1" x14ac:dyDescent="0.3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" hidden="1" thickBot="1" x14ac:dyDescent="0.3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67">H402</f>
        <v>7296.08</v>
      </c>
      <c r="I401" s="277">
        <f t="shared" si="67"/>
        <v>6962.0999999999995</v>
      </c>
      <c r="J401" s="276">
        <f t="shared" si="67"/>
        <v>6915</v>
      </c>
      <c r="K401" s="1858"/>
      <c r="L401" s="1858"/>
      <c r="M401" s="1858"/>
      <c r="N401" s="1268">
        <f t="shared" ref="N401:N404" si="68">N402</f>
        <v>7296.08</v>
      </c>
      <c r="O401" s="1858"/>
      <c r="P401" s="1858"/>
      <c r="Q401" s="1858"/>
      <c r="R401" s="1858"/>
      <c r="S401" s="1858"/>
      <c r="T401" s="1858"/>
      <c r="U401" s="1892">
        <f t="shared" ref="U401:U404" si="69">U402</f>
        <v>7296.08</v>
      </c>
    </row>
    <row r="402" spans="1:21" ht="32" hidden="1" thickBot="1" x14ac:dyDescent="0.3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67"/>
        <v>7296.08</v>
      </c>
      <c r="I402" s="277">
        <f t="shared" si="67"/>
        <v>6962.0999999999995</v>
      </c>
      <c r="J402" s="276">
        <f t="shared" si="67"/>
        <v>6915</v>
      </c>
      <c r="K402" s="1858"/>
      <c r="L402" s="1858"/>
      <c r="M402" s="1858"/>
      <c r="N402" s="1268">
        <f t="shared" si="68"/>
        <v>7296.08</v>
      </c>
      <c r="O402" s="1858"/>
      <c r="P402" s="1858"/>
      <c r="Q402" s="1858"/>
      <c r="R402" s="1858"/>
      <c r="S402" s="1858"/>
      <c r="T402" s="1858"/>
      <c r="U402" s="1892">
        <f t="shared" si="69"/>
        <v>7296.08</v>
      </c>
    </row>
    <row r="403" spans="1:21" ht="30.5" hidden="1" thickBot="1" x14ac:dyDescent="0.3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67"/>
        <v>7296.08</v>
      </c>
      <c r="I403" s="270">
        <f t="shared" si="67"/>
        <v>6962.0999999999995</v>
      </c>
      <c r="J403" s="269">
        <f t="shared" si="67"/>
        <v>6915</v>
      </c>
      <c r="K403" s="1858"/>
      <c r="L403" s="1858"/>
      <c r="M403" s="1858"/>
      <c r="N403" s="1264">
        <f t="shared" si="68"/>
        <v>7296.08</v>
      </c>
      <c r="O403" s="1858"/>
      <c r="P403" s="1858"/>
      <c r="Q403" s="1858"/>
      <c r="R403" s="1858"/>
      <c r="S403" s="1858"/>
      <c r="T403" s="1858"/>
      <c r="U403" s="1888">
        <f t="shared" si="69"/>
        <v>7296.08</v>
      </c>
    </row>
    <row r="404" spans="1:21" ht="13" hidden="1" thickBot="1" x14ac:dyDescent="0.3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67"/>
        <v>7296.08</v>
      </c>
      <c r="I404" s="270">
        <f t="shared" si="67"/>
        <v>6962.0999999999995</v>
      </c>
      <c r="J404" s="269">
        <f t="shared" si="67"/>
        <v>6915</v>
      </c>
      <c r="K404" s="1858"/>
      <c r="L404" s="1858"/>
      <c r="M404" s="1858"/>
      <c r="N404" s="1264">
        <f t="shared" si="68"/>
        <v>7296.08</v>
      </c>
      <c r="O404" s="1858"/>
      <c r="P404" s="1858"/>
      <c r="Q404" s="1858"/>
      <c r="R404" s="1858"/>
      <c r="S404" s="1858"/>
      <c r="T404" s="1858"/>
      <c r="U404" s="1888">
        <f t="shared" si="69"/>
        <v>7296.08</v>
      </c>
    </row>
    <row r="405" spans="1:21" ht="13" hidden="1" thickBot="1" x14ac:dyDescent="0.3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" hidden="1" thickBot="1" x14ac:dyDescent="0.3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0.5" hidden="1" thickBot="1" x14ac:dyDescent="0.3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" hidden="1" thickBot="1" x14ac:dyDescent="0.3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21.5" hidden="1" thickBot="1" x14ac:dyDescent="0.3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" hidden="1" thickBot="1" x14ac:dyDescent="0.3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" hidden="1" thickBot="1" x14ac:dyDescent="0.3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13" hidden="1" thickBot="1" x14ac:dyDescent="0.3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3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" hidden="1" thickBot="1" x14ac:dyDescent="0.3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70">H415</f>
        <v>5654.951</v>
      </c>
      <c r="I414" s="277">
        <f t="shared" si="70"/>
        <v>3122.0079999999998</v>
      </c>
      <c r="J414" s="276">
        <f t="shared" si="70"/>
        <v>3259.5410000000002</v>
      </c>
      <c r="K414" s="1858"/>
      <c r="L414" s="1858"/>
      <c r="M414" s="1858"/>
      <c r="N414" s="1268">
        <f t="shared" ref="N414:N415" si="71">N415</f>
        <v>5373.54</v>
      </c>
      <c r="O414" s="1858"/>
      <c r="P414" s="1858"/>
      <c r="Q414" s="1858"/>
      <c r="R414" s="1858"/>
      <c r="S414" s="1858"/>
      <c r="T414" s="1858"/>
      <c r="U414" s="1892">
        <f t="shared" ref="U414:U415" si="72">U415</f>
        <v>5522.4639999999999</v>
      </c>
    </row>
    <row r="415" spans="1:21" ht="32" hidden="1" thickBot="1" x14ac:dyDescent="0.3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70"/>
        <v>5654.951</v>
      </c>
      <c r="I415" s="277">
        <f t="shared" si="70"/>
        <v>3122.0079999999998</v>
      </c>
      <c r="J415" s="276">
        <f t="shared" si="70"/>
        <v>3259.5410000000002</v>
      </c>
      <c r="K415" s="1858"/>
      <c r="L415" s="1858"/>
      <c r="M415" s="1858"/>
      <c r="N415" s="1268">
        <f t="shared" si="71"/>
        <v>5373.54</v>
      </c>
      <c r="O415" s="1858"/>
      <c r="P415" s="1858"/>
      <c r="Q415" s="1858"/>
      <c r="R415" s="1858"/>
      <c r="S415" s="1858"/>
      <c r="T415" s="1858"/>
      <c r="U415" s="1892">
        <f t="shared" si="72"/>
        <v>5522.4639999999999</v>
      </c>
    </row>
    <row r="416" spans="1:21" ht="13" hidden="1" thickBot="1" x14ac:dyDescent="0.3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" hidden="1" thickBot="1" x14ac:dyDescent="0.3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73">H418</f>
        <v>1650.46</v>
      </c>
      <c r="I417" s="270">
        <f t="shared" si="73"/>
        <v>1250.5</v>
      </c>
      <c r="J417" s="269">
        <f t="shared" si="73"/>
        <v>1348</v>
      </c>
      <c r="K417" s="1858"/>
      <c r="L417" s="1858"/>
      <c r="M417" s="1858"/>
      <c r="N417" s="1264">
        <f t="shared" ref="N417:N418" si="74">N418</f>
        <v>1650.46</v>
      </c>
      <c r="O417" s="1858"/>
      <c r="P417" s="1858"/>
      <c r="Q417" s="1858"/>
      <c r="R417" s="1858"/>
      <c r="S417" s="1858"/>
      <c r="T417" s="1858"/>
      <c r="U417" s="1888">
        <f t="shared" ref="U417:U418" si="75">U418</f>
        <v>1650.46</v>
      </c>
    </row>
    <row r="418" spans="1:21" ht="13.5" hidden="1" thickBot="1" x14ac:dyDescent="0.3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73"/>
        <v>1650.46</v>
      </c>
      <c r="I418" s="270">
        <f t="shared" si="73"/>
        <v>1250.5</v>
      </c>
      <c r="J418" s="269">
        <f t="shared" si="73"/>
        <v>1348</v>
      </c>
      <c r="K418" s="1858"/>
      <c r="L418" s="1858"/>
      <c r="M418" s="1858"/>
      <c r="N418" s="1264">
        <f t="shared" si="74"/>
        <v>1650.46</v>
      </c>
      <c r="O418" s="1858"/>
      <c r="P418" s="1858"/>
      <c r="Q418" s="1858"/>
      <c r="R418" s="1858"/>
      <c r="S418" s="1858"/>
      <c r="T418" s="1858"/>
      <c r="U418" s="1888">
        <f t="shared" si="75"/>
        <v>1650.46</v>
      </c>
    </row>
    <row r="419" spans="1:21" ht="20.5" hidden="1" thickBot="1" x14ac:dyDescent="0.3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3.5" thickBot="1" x14ac:dyDescent="0.3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5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5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76">I423</f>
        <v>0</v>
      </c>
      <c r="J422" s="355">
        <f t="shared" si="76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1" hidden="1" x14ac:dyDescent="0.25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76"/>
        <v>0</v>
      </c>
      <c r="J423" s="353">
        <f t="shared" si="76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1" hidden="1" x14ac:dyDescent="0.25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76"/>
        <v>0</v>
      </c>
      <c r="J424" s="353">
        <f t="shared" si="76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5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76"/>
        <v>0</v>
      </c>
      <c r="J425" s="353">
        <f t="shared" si="76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1" hidden="1" x14ac:dyDescent="0.25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76"/>
        <v>0</v>
      </c>
      <c r="J426" s="353">
        <f t="shared" si="76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5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3" x14ac:dyDescent="0.25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21" x14ac:dyDescent="0.25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1" x14ac:dyDescent="0.25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5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1" x14ac:dyDescent="0.25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5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4.5" x14ac:dyDescent="0.25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21" x14ac:dyDescent="0.25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21" x14ac:dyDescent="0.25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77">H437</f>
        <v>2310.4900000000002</v>
      </c>
      <c r="I436" s="851">
        <f t="shared" si="77"/>
        <v>1871.5079999999998</v>
      </c>
      <c r="J436" s="353">
        <f t="shared" si="77"/>
        <v>1911.5409999999999</v>
      </c>
      <c r="K436" s="1858"/>
      <c r="L436" s="1858"/>
      <c r="M436" s="1858"/>
      <c r="N436" s="1181">
        <f t="shared" ref="N436:N437" si="78">N437</f>
        <v>1958.319</v>
      </c>
      <c r="O436" s="1858"/>
      <c r="P436" s="1858"/>
      <c r="Q436" s="1858"/>
      <c r="R436" s="1858"/>
      <c r="S436" s="1858"/>
      <c r="T436" s="1858"/>
      <c r="U436" s="1678">
        <f t="shared" ref="U436:U437" si="79">U437</f>
        <v>2039.7719999999999</v>
      </c>
    </row>
    <row r="437" spans="1:21" x14ac:dyDescent="0.25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77"/>
        <v>2310.4900000000002</v>
      </c>
      <c r="I437" s="851">
        <f t="shared" si="77"/>
        <v>1871.5079999999998</v>
      </c>
      <c r="J437" s="353">
        <f t="shared" si="77"/>
        <v>1911.5409999999999</v>
      </c>
      <c r="K437" s="1858"/>
      <c r="L437" s="1858"/>
      <c r="M437" s="1858"/>
      <c r="N437" s="1181">
        <f t="shared" si="78"/>
        <v>1958.319</v>
      </c>
      <c r="O437" s="1858"/>
      <c r="P437" s="1858"/>
      <c r="Q437" s="1858"/>
      <c r="R437" s="1858"/>
      <c r="S437" s="1858"/>
      <c r="T437" s="1858"/>
      <c r="U437" s="1678">
        <f t="shared" si="79"/>
        <v>2039.7719999999999</v>
      </c>
    </row>
    <row r="438" spans="1:21" x14ac:dyDescent="0.25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5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1" x14ac:dyDescent="0.25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5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" thickBot="1" x14ac:dyDescent="0.3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5" x14ac:dyDescent="0.3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5" x14ac:dyDescent="0.3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5" x14ac:dyDescent="0.3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5" x14ac:dyDescent="0.25">
      <c r="E5" s="388"/>
      <c r="F5" s="388"/>
      <c r="G5" s="388"/>
      <c r="H5" s="2603" t="s">
        <v>991</v>
      </c>
      <c r="I5" s="2603"/>
      <c r="J5" s="2603"/>
      <c r="K5" s="2603"/>
      <c r="L5" s="2603"/>
      <c r="M5" s="2603"/>
      <c r="N5" s="2603"/>
      <c r="O5" s="2603"/>
      <c r="P5" s="2603"/>
      <c r="Q5" s="2603"/>
      <c r="R5" s="2603"/>
      <c r="S5" s="2603"/>
      <c r="T5" s="2603"/>
      <c r="U5" s="2603"/>
      <c r="V5" s="258"/>
    </row>
    <row r="6" spans="1:22" ht="15.5" x14ac:dyDescent="0.3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5" hidden="1" x14ac:dyDescent="0.3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5" hidden="1" x14ac:dyDescent="0.3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2727"/>
      <c r="C12" s="2727"/>
      <c r="D12" s="2727"/>
      <c r="E12" s="2727"/>
      <c r="F12" s="2727"/>
      <c r="G12" s="2727"/>
      <c r="H12" s="2727"/>
      <c r="I12" s="395" t="e">
        <f>I10-I11-#REF!</f>
        <v>#REF!</v>
      </c>
      <c r="N12" s="1"/>
      <c r="U12" s="1"/>
    </row>
    <row r="13" spans="1:22" ht="15.65" customHeight="1" x14ac:dyDescent="0.25">
      <c r="A13" s="2728" t="s">
        <v>614</v>
      </c>
      <c r="B13" s="2728"/>
      <c r="C13" s="2728"/>
      <c r="D13" s="2728"/>
      <c r="E13" s="2728"/>
      <c r="F13" s="2728"/>
      <c r="G13" s="2728"/>
      <c r="H13" s="2728"/>
      <c r="I13" s="2728"/>
      <c r="J13" s="2728"/>
      <c r="K13" s="2728"/>
      <c r="L13" s="2728"/>
      <c r="M13" s="2728"/>
      <c r="N13" s="2728"/>
      <c r="O13" s="2728"/>
      <c r="P13" s="2728"/>
      <c r="Q13" s="2728"/>
      <c r="R13" s="2728"/>
      <c r="S13" s="2728"/>
      <c r="T13" s="2728"/>
      <c r="U13" s="2728"/>
    </row>
    <row r="14" spans="1:22" ht="15.65" customHeight="1" x14ac:dyDescent="0.25">
      <c r="A14" s="2728" t="s">
        <v>613</v>
      </c>
      <c r="B14" s="2728"/>
      <c r="C14" s="2728"/>
      <c r="D14" s="2728"/>
      <c r="E14" s="2728"/>
      <c r="F14" s="2728"/>
      <c r="G14" s="2728"/>
      <c r="H14" s="2728"/>
      <c r="I14" s="2728"/>
      <c r="J14" s="2728"/>
      <c r="K14" s="2728"/>
      <c r="L14" s="2728"/>
      <c r="M14" s="2728"/>
      <c r="N14" s="2728"/>
      <c r="O14" s="2728"/>
      <c r="P14" s="2728"/>
      <c r="Q14" s="2728"/>
      <c r="R14" s="2728"/>
      <c r="S14" s="2728"/>
      <c r="T14" s="2728"/>
      <c r="U14" s="2728"/>
    </row>
    <row r="15" spans="1:22" ht="15" customHeight="1" x14ac:dyDescent="0.25">
      <c r="A15" s="2728" t="s">
        <v>995</v>
      </c>
      <c r="B15" s="2728"/>
      <c r="C15" s="2728"/>
      <c r="D15" s="2728"/>
      <c r="E15" s="2728"/>
      <c r="F15" s="2728"/>
      <c r="G15" s="2728"/>
      <c r="H15" s="2728"/>
      <c r="I15" s="2728"/>
      <c r="J15" s="2728"/>
      <c r="K15" s="2728"/>
      <c r="L15" s="2728"/>
      <c r="M15" s="2728"/>
      <c r="N15" s="2728"/>
      <c r="O15" s="2728"/>
      <c r="P15" s="2728"/>
      <c r="Q15" s="2728"/>
      <c r="R15" s="2728"/>
      <c r="S15" s="2728"/>
      <c r="T15" s="2728"/>
      <c r="U15" s="2728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1.5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" hidden="1" thickBot="1" x14ac:dyDescent="0.3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526"/>
  <sheetViews>
    <sheetView topLeftCell="A346" zoomScale="77" zoomScaleNormal="77" zoomScaleSheetLayoutView="86" workbookViewId="0">
      <selection activeCell="U362" sqref="U362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343" customWidth="1"/>
    <col min="9" max="9" width="18.7265625" style="2343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2343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2343" customWidth="1"/>
    <col min="22" max="22" width="10.453125" style="1" hidden="1" customWidth="1"/>
    <col min="23" max="24" width="10.1796875" style="1" hidden="1" customWidth="1"/>
    <col min="25" max="25" width="9.1796875" style="1" hidden="1" customWidth="1"/>
    <col min="26" max="26" width="14.81640625" style="1" hidden="1" customWidth="1"/>
    <col min="27" max="27" width="17.1796875" style="1" hidden="1" customWidth="1"/>
    <col min="28" max="28" width="13.54296875" style="1" hidden="1" customWidth="1"/>
    <col min="29" max="29" width="18.453125" style="1" customWidth="1"/>
    <col min="30" max="16384" width="9.1796875" style="1"/>
  </cols>
  <sheetData>
    <row r="1" spans="5:22" x14ac:dyDescent="0.25">
      <c r="H1" s="2706" t="s">
        <v>936</v>
      </c>
      <c r="I1" s="2706"/>
      <c r="J1" s="2706"/>
      <c r="K1" s="2706"/>
      <c r="L1" s="2706"/>
      <c r="M1" s="2706"/>
      <c r="N1" s="2706"/>
      <c r="O1" s="2706"/>
      <c r="P1" s="2706"/>
      <c r="Q1" s="2706"/>
      <c r="R1" s="2706"/>
      <c r="S1" s="2706"/>
      <c r="T1" s="2706"/>
      <c r="U1" s="2706"/>
    </row>
    <row r="2" spans="5:22" x14ac:dyDescent="0.25">
      <c r="H2" s="2706" t="s">
        <v>450</v>
      </c>
      <c r="I2" s="2706"/>
      <c r="J2" s="2706"/>
      <c r="K2" s="2706"/>
      <c r="L2" s="2706"/>
      <c r="M2" s="2706"/>
      <c r="N2" s="2706"/>
      <c r="O2" s="2706"/>
      <c r="P2" s="2706"/>
      <c r="Q2" s="2706"/>
      <c r="R2" s="2706"/>
      <c r="S2" s="2706"/>
      <c r="T2" s="2706"/>
      <c r="U2" s="2706"/>
    </row>
    <row r="3" spans="5:22" x14ac:dyDescent="0.25">
      <c r="H3" s="2706" t="s">
        <v>449</v>
      </c>
      <c r="I3" s="2706"/>
      <c r="J3" s="2706"/>
      <c r="K3" s="2706"/>
      <c r="L3" s="2706"/>
      <c r="M3" s="2706"/>
      <c r="N3" s="2706"/>
      <c r="O3" s="2706"/>
      <c r="P3" s="2706"/>
      <c r="Q3" s="2706"/>
      <c r="R3" s="2706"/>
      <c r="S3" s="2706"/>
      <c r="T3" s="2706"/>
      <c r="U3" s="2706"/>
    </row>
    <row r="4" spans="5:22" x14ac:dyDescent="0.25">
      <c r="H4" s="2706" t="s">
        <v>448</v>
      </c>
      <c r="I4" s="2706"/>
      <c r="J4" s="2706"/>
      <c r="K4" s="2706"/>
      <c r="L4" s="2706"/>
      <c r="M4" s="2706"/>
      <c r="N4" s="2706"/>
      <c r="O4" s="2706"/>
      <c r="P4" s="2706"/>
      <c r="Q4" s="2706"/>
      <c r="R4" s="2706"/>
      <c r="S4" s="2706"/>
      <c r="T4" s="2706"/>
      <c r="U4" s="2706"/>
    </row>
    <row r="5" spans="5:22" x14ac:dyDescent="0.25">
      <c r="H5" s="2707" t="s">
        <v>1135</v>
      </c>
      <c r="I5" s="2707"/>
      <c r="J5" s="2707"/>
      <c r="K5" s="2707"/>
      <c r="L5" s="2707"/>
      <c r="M5" s="2707"/>
      <c r="N5" s="2707"/>
      <c r="O5" s="2707"/>
      <c r="P5" s="2707"/>
      <c r="Q5" s="2707"/>
      <c r="R5" s="2707"/>
      <c r="S5" s="2707"/>
      <c r="T5" s="2707"/>
      <c r="U5" s="2707"/>
    </row>
    <row r="7" spans="5:22" ht="15.5" x14ac:dyDescent="0.35">
      <c r="E7" s="1030"/>
      <c r="F7" s="1030"/>
      <c r="G7" s="1030"/>
      <c r="H7" s="410"/>
      <c r="I7" s="1825"/>
      <c r="J7" s="1825"/>
      <c r="K7" s="1825"/>
      <c r="L7" s="1825"/>
      <c r="M7" s="1825"/>
      <c r="O7" s="1825"/>
      <c r="P7" s="1825"/>
      <c r="Q7" s="1825"/>
      <c r="R7" s="1825"/>
      <c r="U7" s="410" t="s">
        <v>946</v>
      </c>
    </row>
    <row r="8" spans="5:22" ht="15.5" x14ac:dyDescent="0.35">
      <c r="E8" s="261"/>
      <c r="F8" s="261"/>
      <c r="G8" s="261"/>
      <c r="H8" s="410"/>
      <c r="I8" s="1825"/>
      <c r="J8" s="1825"/>
      <c r="K8" s="1825"/>
      <c r="L8" s="1825"/>
      <c r="M8" s="1825"/>
      <c r="P8" s="1825"/>
      <c r="Q8" s="1825"/>
      <c r="R8" s="1825"/>
      <c r="U8" s="410" t="s">
        <v>450</v>
      </c>
    </row>
    <row r="9" spans="5:22" ht="15.5" x14ac:dyDescent="0.35">
      <c r="E9" s="261"/>
      <c r="F9" s="261"/>
      <c r="G9" s="261"/>
      <c r="H9" s="410"/>
      <c r="I9" s="1825"/>
      <c r="J9" s="1825"/>
      <c r="K9" s="1825"/>
      <c r="L9" s="1825"/>
      <c r="M9" s="1825"/>
      <c r="O9" s="1825"/>
      <c r="P9" s="1825"/>
      <c r="Q9" s="1825"/>
      <c r="R9" s="1825"/>
      <c r="U9" s="410" t="s">
        <v>449</v>
      </c>
    </row>
    <row r="10" spans="5:22" ht="15.5" x14ac:dyDescent="0.35">
      <c r="E10" s="261"/>
      <c r="F10" s="261"/>
      <c r="G10" s="261"/>
      <c r="H10" s="410"/>
      <c r="I10" s="1825"/>
      <c r="J10" s="1825"/>
      <c r="K10" s="1825"/>
      <c r="L10" s="1825"/>
      <c r="M10" s="1825"/>
      <c r="O10" s="1825"/>
      <c r="P10" s="1825"/>
      <c r="Q10" s="1825"/>
      <c r="R10" s="1825"/>
      <c r="U10" s="410" t="s">
        <v>448</v>
      </c>
    </row>
    <row r="11" spans="5:22" ht="15.5" x14ac:dyDescent="0.25">
      <c r="E11" s="388"/>
      <c r="F11" s="388"/>
      <c r="G11" s="388"/>
      <c r="H11" s="2705" t="s">
        <v>1110</v>
      </c>
      <c r="I11" s="2705"/>
      <c r="J11" s="2705"/>
      <c r="K11" s="2705"/>
      <c r="L11" s="2705"/>
      <c r="M11" s="2705"/>
      <c r="N11" s="2705"/>
      <c r="O11" s="2705"/>
      <c r="P11" s="2705"/>
      <c r="Q11" s="2705"/>
      <c r="R11" s="2705"/>
      <c r="S11" s="2705"/>
      <c r="T11" s="2705"/>
      <c r="U11" s="2705"/>
      <c r="V11" s="1824"/>
    </row>
    <row r="12" spans="5:22" ht="15.5" x14ac:dyDescent="0.35">
      <c r="I12" s="413"/>
      <c r="J12" s="413"/>
      <c r="K12" s="413"/>
      <c r="L12" s="413"/>
      <c r="M12" s="2343"/>
      <c r="O12" s="410"/>
      <c r="P12" s="410"/>
      <c r="Q12" s="410"/>
      <c r="R12" s="410"/>
    </row>
    <row r="13" spans="5:22" ht="15.5" hidden="1" x14ac:dyDescent="0.35">
      <c r="E13" s="254"/>
      <c r="F13" s="254"/>
      <c r="G13" s="254"/>
      <c r="H13" s="2341" t="s">
        <v>446</v>
      </c>
      <c r="I13" s="413"/>
      <c r="J13" s="415"/>
      <c r="K13" s="415"/>
      <c r="L13" s="415"/>
      <c r="M13" s="2341"/>
      <c r="N13" s="2341" t="s">
        <v>446</v>
      </c>
      <c r="O13" s="410"/>
      <c r="P13" s="410"/>
      <c r="Q13" s="410"/>
      <c r="R13" s="410"/>
      <c r="U13" s="2341" t="s">
        <v>446</v>
      </c>
    </row>
    <row r="14" spans="5:22" ht="15.5" hidden="1" x14ac:dyDescent="0.35">
      <c r="E14" s="254"/>
      <c r="F14" s="254"/>
      <c r="G14" s="254"/>
      <c r="H14" s="1827"/>
      <c r="I14" s="413"/>
      <c r="J14" s="415"/>
      <c r="K14" s="415"/>
      <c r="L14" s="415"/>
      <c r="M14" s="1827"/>
      <c r="N14" s="1827"/>
      <c r="P14" s="410"/>
      <c r="Q14" s="410"/>
      <c r="U14" s="1827"/>
    </row>
    <row r="15" spans="5:22" ht="15.5" hidden="1" x14ac:dyDescent="0.35">
      <c r="E15" s="254"/>
      <c r="F15" s="254"/>
      <c r="G15" s="254"/>
      <c r="H15" s="2341" t="s">
        <v>848</v>
      </c>
      <c r="I15" s="413"/>
      <c r="J15" s="415"/>
      <c r="K15" s="415"/>
      <c r="L15" s="415"/>
      <c r="M15" s="2341"/>
      <c r="N15" s="2341" t="s">
        <v>848</v>
      </c>
      <c r="O15" s="410"/>
      <c r="P15" s="410"/>
      <c r="Q15" s="410"/>
      <c r="R15" s="410"/>
      <c r="U15" s="2341" t="s">
        <v>848</v>
      </c>
    </row>
    <row r="16" spans="5:22" ht="15.5" hidden="1" x14ac:dyDescent="0.35">
      <c r="H16" s="393"/>
      <c r="I16" s="1828">
        <v>73707.5</v>
      </c>
      <c r="J16" s="413"/>
      <c r="K16" s="413"/>
      <c r="L16" s="413"/>
      <c r="M16" s="2343"/>
      <c r="N16" s="393"/>
      <c r="O16" s="410"/>
      <c r="P16" s="410"/>
      <c r="Q16" s="410"/>
      <c r="U16" s="393"/>
    </row>
    <row r="17" spans="1:28" ht="13" x14ac:dyDescent="0.3">
      <c r="G17" s="392"/>
      <c r="H17" s="393"/>
      <c r="I17" s="1829">
        <v>3685.4</v>
      </c>
      <c r="N17" s="393"/>
      <c r="U17" s="393"/>
    </row>
    <row r="18" spans="1:28" ht="15.5" x14ac:dyDescent="0.3">
      <c r="B18" s="2727"/>
      <c r="C18" s="2727"/>
      <c r="D18" s="2727"/>
      <c r="E18" s="2727"/>
      <c r="F18" s="2727"/>
      <c r="G18" s="2727"/>
      <c r="H18" s="2727"/>
      <c r="I18" s="1830" t="e">
        <f>I16-I17-#REF!</f>
        <v>#REF!</v>
      </c>
      <c r="N18" s="237"/>
      <c r="U18" s="237"/>
    </row>
    <row r="19" spans="1:28" ht="15.65" customHeight="1" x14ac:dyDescent="0.25">
      <c r="A19" s="2728" t="s">
        <v>614</v>
      </c>
      <c r="B19" s="2728"/>
      <c r="C19" s="2728"/>
      <c r="D19" s="2728"/>
      <c r="E19" s="2728"/>
      <c r="F19" s="2728"/>
      <c r="G19" s="2728"/>
      <c r="H19" s="2728"/>
      <c r="I19" s="2728"/>
      <c r="J19" s="2728"/>
      <c r="K19" s="2728"/>
      <c r="L19" s="2728"/>
      <c r="M19" s="2728"/>
      <c r="N19" s="2728"/>
      <c r="O19" s="2728"/>
      <c r="P19" s="2728"/>
      <c r="Q19" s="2728"/>
      <c r="R19" s="2728"/>
      <c r="S19" s="2728"/>
      <c r="T19" s="2728"/>
      <c r="U19" s="2728"/>
      <c r="AA19" s="1831"/>
    </row>
    <row r="20" spans="1:28" ht="15.65" customHeight="1" x14ac:dyDescent="0.25">
      <c r="A20" s="2728" t="s">
        <v>613</v>
      </c>
      <c r="B20" s="2728"/>
      <c r="C20" s="2728"/>
      <c r="D20" s="2728"/>
      <c r="E20" s="2728"/>
      <c r="F20" s="2728"/>
      <c r="G20" s="2728"/>
      <c r="H20" s="2728"/>
      <c r="I20" s="2728"/>
      <c r="J20" s="2728"/>
      <c r="K20" s="2728"/>
      <c r="L20" s="2728"/>
      <c r="M20" s="2728"/>
      <c r="N20" s="2728"/>
      <c r="O20" s="2728"/>
      <c r="P20" s="2728"/>
      <c r="Q20" s="2728"/>
      <c r="R20" s="2728"/>
      <c r="S20" s="2728"/>
      <c r="T20" s="2728"/>
      <c r="U20" s="2728"/>
      <c r="AA20" s="1832">
        <f>AA22-99005.965</f>
        <v>7337.4599999999919</v>
      </c>
      <c r="AB20" s="237">
        <f>AB22-99831.286</f>
        <v>7695.1699999999983</v>
      </c>
    </row>
    <row r="21" spans="1:28" ht="15" customHeight="1" x14ac:dyDescent="0.25">
      <c r="A21" s="2728" t="s">
        <v>995</v>
      </c>
      <c r="B21" s="2728"/>
      <c r="C21" s="2728"/>
      <c r="D21" s="2728"/>
      <c r="E21" s="2728"/>
      <c r="F21" s="2728"/>
      <c r="G21" s="2728"/>
      <c r="H21" s="2728"/>
      <c r="I21" s="2728"/>
      <c r="J21" s="2728"/>
      <c r="K21" s="2728"/>
      <c r="L21" s="2728"/>
      <c r="M21" s="2728"/>
      <c r="N21" s="2728"/>
      <c r="O21" s="2728"/>
      <c r="P21" s="2728"/>
      <c r="Q21" s="2728"/>
      <c r="R21" s="2728"/>
      <c r="S21" s="2728"/>
      <c r="T21" s="2728"/>
      <c r="U21" s="2728"/>
      <c r="AA21" s="1833"/>
    </row>
    <row r="22" spans="1:28" ht="16" thickBot="1" x14ac:dyDescent="0.4">
      <c r="A22" s="375"/>
      <c r="B22" s="236"/>
      <c r="C22" s="235"/>
      <c r="D22" s="234"/>
      <c r="E22" s="234"/>
      <c r="F22" s="234"/>
      <c r="G22" s="234"/>
      <c r="H22" s="1834"/>
      <c r="I22" s="1835"/>
      <c r="N22" s="1834"/>
      <c r="U22" s="1834" t="s">
        <v>829</v>
      </c>
      <c r="AA22" s="237">
        <f>N24+AA24</f>
        <v>106343.42499999999</v>
      </c>
      <c r="AB22" s="237">
        <f>U24+AB24</f>
        <v>107526.45599999999</v>
      </c>
    </row>
    <row r="23" spans="1:28" ht="13" thickBot="1" x14ac:dyDescent="0.3">
      <c r="A23" s="1158" t="s">
        <v>611</v>
      </c>
      <c r="B23" s="1159" t="s">
        <v>322</v>
      </c>
      <c r="C23" s="1160" t="s">
        <v>610</v>
      </c>
      <c r="D23" s="1161" t="s">
        <v>609</v>
      </c>
      <c r="E23" s="1161" t="s">
        <v>608</v>
      </c>
      <c r="F23" s="1161" t="s">
        <v>607</v>
      </c>
      <c r="G23" s="1658" t="s">
        <v>606</v>
      </c>
      <c r="H23" s="1673" t="s">
        <v>845</v>
      </c>
      <c r="I23" s="846" t="s">
        <v>604</v>
      </c>
      <c r="J23" s="368" t="s">
        <v>603</v>
      </c>
      <c r="K23" s="1855"/>
      <c r="L23" s="1855"/>
      <c r="M23" s="1855"/>
      <c r="N23" s="1162" t="s">
        <v>904</v>
      </c>
      <c r="O23" s="1855"/>
      <c r="P23" s="1855"/>
      <c r="Q23" s="1855"/>
      <c r="R23" s="1855"/>
      <c r="S23" s="1855"/>
      <c r="T23" s="1855"/>
      <c r="U23" s="1673" t="s">
        <v>996</v>
      </c>
    </row>
    <row r="24" spans="1:28" ht="13.5" thickBot="1" x14ac:dyDescent="0.3">
      <c r="A24" s="1163"/>
      <c r="B24" s="1164" t="s">
        <v>618</v>
      </c>
      <c r="C24" s="1165"/>
      <c r="D24" s="1166"/>
      <c r="E24" s="1166"/>
      <c r="F24" s="1166"/>
      <c r="G24" s="1659"/>
      <c r="H24" s="1674">
        <f>H26+H491+H518</f>
        <v>115161.01799999998</v>
      </c>
      <c r="I24" s="847">
        <f>I25+I59+I470</f>
        <v>41834.239999999998</v>
      </c>
      <c r="J24" s="363">
        <f>J25+J59+J470</f>
        <v>39496.512999999999</v>
      </c>
      <c r="K24" s="1858">
        <f>K27+K138+K167+K174+K210+K217+K231+K250+K252+K263+K294+K370+K383+K410+K428+K458</f>
        <v>32490.631000000001</v>
      </c>
      <c r="L24" s="1858">
        <v>95708.6</v>
      </c>
      <c r="M24" s="1858">
        <f>H24-L24</f>
        <v>19452.417999999976</v>
      </c>
      <c r="N24" s="1167">
        <f>N26+N491</f>
        <v>103816.586</v>
      </c>
      <c r="O24" s="1858"/>
      <c r="P24" s="1858"/>
      <c r="Q24" s="1858"/>
      <c r="R24" s="1858"/>
      <c r="S24" s="1858"/>
      <c r="T24" s="1858"/>
      <c r="U24" s="1674">
        <f>U26+U491</f>
        <v>102465.55499999999</v>
      </c>
      <c r="AA24" s="1">
        <v>2526.8389999999999</v>
      </c>
      <c r="AB24" s="1">
        <v>5060.9009999999998</v>
      </c>
    </row>
    <row r="25" spans="1:28" ht="21.5" hidden="1" thickBot="1" x14ac:dyDescent="0.3">
      <c r="A25" s="1168">
        <v>1</v>
      </c>
      <c r="B25" s="1169" t="s">
        <v>601</v>
      </c>
      <c r="C25" s="1161" t="s">
        <v>430</v>
      </c>
      <c r="D25" s="1161"/>
      <c r="E25" s="1161"/>
      <c r="F25" s="1161"/>
      <c r="G25" s="1658"/>
      <c r="H25" s="1675">
        <f>H27</f>
        <v>27553.172980000003</v>
      </c>
      <c r="I25" s="848">
        <f>I27</f>
        <v>0</v>
      </c>
      <c r="J25" s="292">
        <f>J27</f>
        <v>0</v>
      </c>
      <c r="K25" s="1858"/>
      <c r="L25" s="1858"/>
      <c r="M25" s="1858"/>
      <c r="N25" s="1170">
        <f>N27</f>
        <v>22329.050999999999</v>
      </c>
      <c r="O25" s="1858"/>
      <c r="P25" s="1858"/>
      <c r="Q25" s="1858"/>
      <c r="R25" s="1858"/>
      <c r="S25" s="1858"/>
      <c r="T25" s="1858"/>
      <c r="U25" s="1675">
        <f>U27</f>
        <v>22649.812000000002</v>
      </c>
    </row>
    <row r="26" spans="1:28" ht="23.5" thickBot="1" x14ac:dyDescent="0.3">
      <c r="A26" s="1168">
        <v>1</v>
      </c>
      <c r="B26" s="1171" t="s">
        <v>584</v>
      </c>
      <c r="C26" s="1161" t="s">
        <v>430</v>
      </c>
      <c r="D26" s="1161"/>
      <c r="E26" s="1161"/>
      <c r="F26" s="1161"/>
      <c r="G26" s="1658"/>
      <c r="H26" s="1675">
        <f>H27+H126+H136+H171+H228+H367+H381+H409+H428+H458</f>
        <v>111046.72499999998</v>
      </c>
      <c r="I26" s="848">
        <f>I27+I106+I137+I199+I293+I306+I373+I395+I96</f>
        <v>17641.879999999997</v>
      </c>
      <c r="J26" s="293">
        <f>J27+J106+J137+J199+J293+J306+J373+J395+J96</f>
        <v>13887.225999999999</v>
      </c>
      <c r="K26" s="1858"/>
      <c r="L26" s="1858"/>
      <c r="M26" s="1858"/>
      <c r="N26" s="1170">
        <f>N27+N126+N136+N171+N228+N367+N381+N409+N428+N458</f>
        <v>99968.845000000001</v>
      </c>
      <c r="O26" s="1858"/>
      <c r="P26" s="1858"/>
      <c r="Q26" s="1858"/>
      <c r="R26" s="1858"/>
      <c r="S26" s="1858"/>
      <c r="T26" s="1858"/>
      <c r="U26" s="1675">
        <f>U27+U126+U136+U171+U228+U367+U381+U409+U428+U458</f>
        <v>98963.942999999999</v>
      </c>
      <c r="AA26" s="1836"/>
    </row>
    <row r="27" spans="1:28" ht="13" thickBot="1" x14ac:dyDescent="0.3">
      <c r="A27" s="1172"/>
      <c r="B27" s="1173" t="s">
        <v>431</v>
      </c>
      <c r="C27" s="1174"/>
      <c r="D27" s="1175" t="s">
        <v>456</v>
      </c>
      <c r="E27" s="1175" t="s">
        <v>459</v>
      </c>
      <c r="F27" s="1175"/>
      <c r="G27" s="1660"/>
      <c r="H27" s="1676">
        <f>H61+H85+H99+H106+H92</f>
        <v>27553.172980000003</v>
      </c>
      <c r="I27" s="849">
        <f>I28+I40+I53</f>
        <v>0</v>
      </c>
      <c r="J27" s="287">
        <f>J28+J40+J53</f>
        <v>0</v>
      </c>
      <c r="K27" s="1862">
        <f>K39+K45+K46+K47+K67+K69+K71+K74+K77+K84+K91+K105+K109+K110+K112+K115</f>
        <v>18000.908000000003</v>
      </c>
      <c r="L27" s="1858"/>
      <c r="M27" s="1858"/>
      <c r="N27" s="1176">
        <f>N34+N40+N61+N85+N99+N106</f>
        <v>22329.050999999999</v>
      </c>
      <c r="O27" s="1858"/>
      <c r="P27" s="1858"/>
      <c r="Q27" s="1858"/>
      <c r="R27" s="1858"/>
      <c r="S27" s="1858"/>
      <c r="T27" s="1858"/>
      <c r="U27" s="1676">
        <f>U34+U40+U61+U85+U99+U106</f>
        <v>22649.812000000002</v>
      </c>
    </row>
    <row r="28" spans="1:28" ht="21.5" hidden="1" thickBot="1" x14ac:dyDescent="0.3">
      <c r="A28" s="842"/>
      <c r="B28" s="752" t="s">
        <v>600</v>
      </c>
      <c r="C28" s="1177"/>
      <c r="D28" s="408" t="s">
        <v>456</v>
      </c>
      <c r="E28" s="408" t="s">
        <v>488</v>
      </c>
      <c r="F28" s="408"/>
      <c r="G28" s="1661"/>
      <c r="H28" s="1677"/>
      <c r="I28" s="850">
        <f t="shared" ref="I28:J32" si="0">I29</f>
        <v>0</v>
      </c>
      <c r="J28" s="355">
        <f t="shared" si="0"/>
        <v>0</v>
      </c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8" ht="21.5" hidden="1" thickBot="1" x14ac:dyDescent="0.3">
      <c r="A29" s="1179"/>
      <c r="B29" s="753" t="s">
        <v>599</v>
      </c>
      <c r="C29" s="1180"/>
      <c r="D29" s="409" t="s">
        <v>456</v>
      </c>
      <c r="E29" s="409" t="s">
        <v>488</v>
      </c>
      <c r="F29" s="409" t="s">
        <v>157</v>
      </c>
      <c r="G29" s="1662"/>
      <c r="H29" s="1678"/>
      <c r="I29" s="851">
        <f t="shared" si="0"/>
        <v>0</v>
      </c>
      <c r="J29" s="353">
        <f t="shared" si="0"/>
        <v>0</v>
      </c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8" ht="21.5" hidden="1" thickBot="1" x14ac:dyDescent="0.3">
      <c r="A30" s="842"/>
      <c r="B30" s="753" t="s">
        <v>596</v>
      </c>
      <c r="C30" s="1180"/>
      <c r="D30" s="409" t="s">
        <v>456</v>
      </c>
      <c r="E30" s="409" t="s">
        <v>488</v>
      </c>
      <c r="F30" s="409" t="s">
        <v>598</v>
      </c>
      <c r="G30" s="1662"/>
      <c r="H30" s="1678"/>
      <c r="I30" s="851">
        <f t="shared" si="0"/>
        <v>0</v>
      </c>
      <c r="J30" s="353">
        <f t="shared" si="0"/>
        <v>0</v>
      </c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8" ht="13" hidden="1" thickBot="1" x14ac:dyDescent="0.3">
      <c r="A31" s="842"/>
      <c r="B31" s="753" t="s">
        <v>582</v>
      </c>
      <c r="C31" s="1180"/>
      <c r="D31" s="409" t="s">
        <v>595</v>
      </c>
      <c r="E31" s="409" t="s">
        <v>594</v>
      </c>
      <c r="F31" s="409" t="s">
        <v>597</v>
      </c>
      <c r="G31" s="1662"/>
      <c r="H31" s="1678"/>
      <c r="I31" s="851">
        <f t="shared" si="0"/>
        <v>0</v>
      </c>
      <c r="J31" s="353">
        <f t="shared" si="0"/>
        <v>0</v>
      </c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8" ht="21.5" hidden="1" thickBot="1" x14ac:dyDescent="0.3">
      <c r="A32" s="842"/>
      <c r="B32" s="753" t="s">
        <v>596</v>
      </c>
      <c r="C32" s="1180"/>
      <c r="D32" s="409" t="s">
        <v>595</v>
      </c>
      <c r="E32" s="409" t="s">
        <v>594</v>
      </c>
      <c r="F32" s="409" t="s">
        <v>593</v>
      </c>
      <c r="G32" s="1662"/>
      <c r="H32" s="1678"/>
      <c r="I32" s="851">
        <f t="shared" si="0"/>
        <v>0</v>
      </c>
      <c r="J32" s="353">
        <f t="shared" si="0"/>
        <v>0</v>
      </c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" hidden="1" thickBot="1" x14ac:dyDescent="0.3">
      <c r="A33" s="842"/>
      <c r="B33" s="1182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23.5" hidden="1" thickBot="1" x14ac:dyDescent="0.3">
      <c r="A34" s="842"/>
      <c r="B34" s="1184" t="s">
        <v>600</v>
      </c>
      <c r="C34" s="1183"/>
      <c r="D34" s="408" t="s">
        <v>456</v>
      </c>
      <c r="E34" s="408" t="s">
        <v>488</v>
      </c>
      <c r="F34" s="409"/>
      <c r="G34" s="1662"/>
      <c r="H34" s="1677"/>
      <c r="I34" s="851"/>
      <c r="J34" s="353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4.75" hidden="1" customHeight="1" x14ac:dyDescent="0.25">
      <c r="A35" s="842"/>
      <c r="B35" s="753" t="s">
        <v>866</v>
      </c>
      <c r="C35" s="1183"/>
      <c r="D35" s="409" t="s">
        <v>456</v>
      </c>
      <c r="E35" s="409" t="s">
        <v>488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1.5" hidden="1" thickBot="1" x14ac:dyDescent="0.3">
      <c r="A36" s="842"/>
      <c r="B36" s="753" t="s">
        <v>867</v>
      </c>
      <c r="C36" s="1183"/>
      <c r="D36" s="409" t="s">
        <v>456</v>
      </c>
      <c r="E36" s="409" t="s">
        <v>488</v>
      </c>
      <c r="F36" s="409" t="s">
        <v>598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" hidden="1" thickBot="1" x14ac:dyDescent="0.3">
      <c r="A37" s="842"/>
      <c r="B37" s="753" t="s">
        <v>582</v>
      </c>
      <c r="C37" s="1183"/>
      <c r="D37" s="409" t="s">
        <v>456</v>
      </c>
      <c r="E37" s="409" t="s">
        <v>488</v>
      </c>
      <c r="F37" s="409" t="s">
        <v>597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21.5" hidden="1" thickBot="1" x14ac:dyDescent="0.3">
      <c r="A38" s="842"/>
      <c r="B38" s="753" t="s">
        <v>867</v>
      </c>
      <c r="C38" s="1183"/>
      <c r="D38" s="409" t="s">
        <v>456</v>
      </c>
      <c r="E38" s="409" t="s">
        <v>488</v>
      </c>
      <c r="F38" s="409" t="s">
        <v>593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" hidden="1" thickBot="1" x14ac:dyDescent="0.3">
      <c r="A39" s="842"/>
      <c r="B39" s="1185" t="s">
        <v>571</v>
      </c>
      <c r="C39" s="1183"/>
      <c r="D39" s="409" t="s">
        <v>456</v>
      </c>
      <c r="E39" s="409" t="s">
        <v>488</v>
      </c>
      <c r="F39" s="409" t="s">
        <v>593</v>
      </c>
      <c r="G39" s="1662" t="s">
        <v>5</v>
      </c>
      <c r="H39" s="1678"/>
      <c r="I39" s="851"/>
      <c r="J39" s="353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35" hidden="1" thickBot="1" x14ac:dyDescent="0.3">
      <c r="A40" s="842"/>
      <c r="B40" s="1184" t="s">
        <v>592</v>
      </c>
      <c r="C40" s="1177"/>
      <c r="D40" s="408" t="s">
        <v>456</v>
      </c>
      <c r="E40" s="408" t="s">
        <v>495</v>
      </c>
      <c r="F40" s="408"/>
      <c r="G40" s="1661"/>
      <c r="H40" s="1677"/>
      <c r="I40" s="850"/>
      <c r="J40" s="355"/>
      <c r="K40" s="1858"/>
      <c r="L40" s="1858"/>
      <c r="M40" s="1858"/>
      <c r="N40" s="1178"/>
      <c r="O40" s="1858"/>
      <c r="P40" s="1858"/>
      <c r="Q40" s="1858"/>
      <c r="R40" s="1858"/>
      <c r="S40" s="1858"/>
      <c r="T40" s="1858"/>
      <c r="U40" s="1677"/>
    </row>
    <row r="41" spans="1:21" ht="26.25" hidden="1" customHeight="1" x14ac:dyDescent="0.25">
      <c r="A41" s="1179"/>
      <c r="B41" s="753" t="s">
        <v>588</v>
      </c>
      <c r="C41" s="1180"/>
      <c r="D41" s="409" t="s">
        <v>456</v>
      </c>
      <c r="E41" s="409" t="s">
        <v>495</v>
      </c>
      <c r="F41" s="409" t="s">
        <v>157</v>
      </c>
      <c r="G41" s="1662"/>
      <c r="H41" s="1678"/>
      <c r="I41" s="851"/>
      <c r="J41" s="353"/>
      <c r="K41" s="1858"/>
      <c r="L41" s="1858"/>
      <c r="M41" s="1858"/>
      <c r="N41" s="1181"/>
      <c r="O41" s="1858"/>
      <c r="P41" s="1858"/>
      <c r="Q41" s="1858"/>
      <c r="R41" s="1858"/>
      <c r="S41" s="1858"/>
      <c r="T41" s="1858"/>
      <c r="U41" s="1678"/>
    </row>
    <row r="42" spans="1:21" ht="27" hidden="1" customHeight="1" x14ac:dyDescent="0.25">
      <c r="A42" s="842"/>
      <c r="B42" s="753" t="s">
        <v>591</v>
      </c>
      <c r="C42" s="1180"/>
      <c r="D42" s="409" t="s">
        <v>456</v>
      </c>
      <c r="E42" s="409" t="s">
        <v>495</v>
      </c>
      <c r="F42" s="409" t="s">
        <v>155</v>
      </c>
      <c r="G42" s="1662"/>
      <c r="H42" s="1678"/>
      <c r="I42" s="851"/>
      <c r="J42" s="353"/>
      <c r="K42" s="1858"/>
      <c r="L42" s="1858"/>
      <c r="M42" s="1858"/>
      <c r="N42" s="1181"/>
      <c r="O42" s="1858"/>
      <c r="P42" s="1858"/>
      <c r="Q42" s="1858"/>
      <c r="R42" s="1858"/>
      <c r="S42" s="1858"/>
      <c r="T42" s="1858"/>
      <c r="U42" s="1678"/>
    </row>
    <row r="43" spans="1:21" ht="13" hidden="1" thickBot="1" x14ac:dyDescent="0.3">
      <c r="A43" s="842"/>
      <c r="B43" s="753" t="s">
        <v>582</v>
      </c>
      <c r="C43" s="1180"/>
      <c r="D43" s="409" t="s">
        <v>456</v>
      </c>
      <c r="E43" s="409" t="s">
        <v>495</v>
      </c>
      <c r="F43" s="409" t="s">
        <v>154</v>
      </c>
      <c r="G43" s="1662"/>
      <c r="H43" s="1678"/>
      <c r="I43" s="851"/>
      <c r="J43" s="353"/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" hidden="1" thickBot="1" x14ac:dyDescent="0.3">
      <c r="A44" s="842"/>
      <c r="B44" s="753" t="s">
        <v>153</v>
      </c>
      <c r="C44" s="1180"/>
      <c r="D44" s="409" t="s">
        <v>456</v>
      </c>
      <c r="E44" s="409" t="s">
        <v>495</v>
      </c>
      <c r="F44" s="409" t="s">
        <v>152</v>
      </c>
      <c r="G44" s="1662"/>
      <c r="H44" s="1678"/>
      <c r="I44" s="851"/>
      <c r="J44" s="353"/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13" hidden="1" thickBot="1" x14ac:dyDescent="0.3">
      <c r="A45" s="842"/>
      <c r="B45" s="1182" t="s">
        <v>571</v>
      </c>
      <c r="C45" s="1183"/>
      <c r="D45" s="409" t="s">
        <v>456</v>
      </c>
      <c r="E45" s="409" t="s">
        <v>495</v>
      </c>
      <c r="F45" s="409" t="s">
        <v>152</v>
      </c>
      <c r="G45" s="1662" t="s">
        <v>5</v>
      </c>
      <c r="H45" s="1678"/>
      <c r="I45" s="851"/>
      <c r="J45" s="352"/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21.5" hidden="1" thickBot="1" x14ac:dyDescent="0.3">
      <c r="A46" s="842"/>
      <c r="B46" s="1182" t="s">
        <v>454</v>
      </c>
      <c r="C46" s="1183"/>
      <c r="D46" s="409" t="s">
        <v>456</v>
      </c>
      <c r="E46" s="409" t="s">
        <v>495</v>
      </c>
      <c r="F46" s="409" t="s">
        <v>152</v>
      </c>
      <c r="G46" s="1662" t="s">
        <v>1</v>
      </c>
      <c r="H46" s="1838"/>
      <c r="I46" s="851"/>
      <c r="J46" s="352"/>
      <c r="K46" s="1859"/>
      <c r="L46" s="1858"/>
      <c r="M46" s="1858"/>
      <c r="N46" s="1840"/>
      <c r="O46" s="1858"/>
      <c r="P46" s="1858"/>
      <c r="Q46" s="1858"/>
      <c r="R46" s="1858"/>
      <c r="S46" s="1858"/>
      <c r="T46" s="1858"/>
      <c r="U46" s="1838"/>
    </row>
    <row r="47" spans="1:21" ht="13" hidden="1" thickBot="1" x14ac:dyDescent="0.3">
      <c r="A47" s="842"/>
      <c r="B47" s="1182" t="s">
        <v>457</v>
      </c>
      <c r="C47" s="1183"/>
      <c r="D47" s="409" t="s">
        <v>456</v>
      </c>
      <c r="E47" s="409" t="s">
        <v>495</v>
      </c>
      <c r="F47" s="409" t="s">
        <v>152</v>
      </c>
      <c r="G47" s="1662" t="s">
        <v>91</v>
      </c>
      <c r="H47" s="1838"/>
      <c r="I47" s="851"/>
      <c r="J47" s="1187"/>
      <c r="K47" s="1859"/>
      <c r="L47" s="1858"/>
      <c r="M47" s="1858"/>
      <c r="N47" s="1840"/>
      <c r="O47" s="1858"/>
      <c r="P47" s="1858"/>
      <c r="Q47" s="1858"/>
      <c r="R47" s="1858"/>
      <c r="S47" s="1858"/>
      <c r="T47" s="1858"/>
      <c r="U47" s="1838"/>
    </row>
    <row r="48" spans="1:21" ht="13" hidden="1" thickBot="1" x14ac:dyDescent="0.3">
      <c r="A48" s="842"/>
      <c r="B48" s="1182"/>
      <c r="C48" s="1183"/>
      <c r="D48" s="409"/>
      <c r="E48" s="409"/>
      <c r="F48" s="409"/>
      <c r="G48" s="1662"/>
      <c r="H48" s="1838"/>
      <c r="I48" s="851"/>
      <c r="J48" s="1187"/>
      <c r="K48" s="1859"/>
      <c r="L48" s="1858"/>
      <c r="M48" s="1858"/>
      <c r="N48" s="1840"/>
      <c r="O48" s="1858"/>
      <c r="P48" s="1858"/>
      <c r="Q48" s="1858"/>
      <c r="R48" s="1858"/>
      <c r="S48" s="1858"/>
      <c r="T48" s="1858"/>
      <c r="U48" s="1838"/>
    </row>
    <row r="49" spans="1:27" ht="32" hidden="1" thickBot="1" x14ac:dyDescent="0.3">
      <c r="A49" s="1179"/>
      <c r="B49" s="1117" t="s">
        <v>590</v>
      </c>
      <c r="C49" s="1188"/>
      <c r="D49" s="409" t="s">
        <v>456</v>
      </c>
      <c r="E49" s="409" t="s">
        <v>495</v>
      </c>
      <c r="F49" s="409" t="s">
        <v>117</v>
      </c>
      <c r="G49" s="1662"/>
      <c r="H49" s="1678">
        <f t="shared" ref="H49:J51" si="1">H50</f>
        <v>0</v>
      </c>
      <c r="I49" s="851">
        <f t="shared" si="1"/>
        <v>659.56200000000001</v>
      </c>
      <c r="J49" s="353">
        <f t="shared" si="1"/>
        <v>725.51900000000001</v>
      </c>
      <c r="K49" s="1858"/>
      <c r="L49" s="1858"/>
      <c r="M49" s="1858"/>
      <c r="N49" s="1181"/>
      <c r="O49" s="1858"/>
      <c r="P49" s="1858"/>
      <c r="Q49" s="1858"/>
      <c r="R49" s="1858"/>
      <c r="S49" s="1858"/>
      <c r="T49" s="1858"/>
      <c r="U49" s="1678"/>
    </row>
    <row r="50" spans="1:27" ht="13" hidden="1" thickBot="1" x14ac:dyDescent="0.3">
      <c r="A50" s="1179"/>
      <c r="B50" s="1117" t="s">
        <v>582</v>
      </c>
      <c r="C50" s="1188"/>
      <c r="D50" s="409" t="s">
        <v>456</v>
      </c>
      <c r="E50" s="409" t="s">
        <v>495</v>
      </c>
      <c r="F50" s="409" t="s">
        <v>116</v>
      </c>
      <c r="G50" s="1662"/>
      <c r="H50" s="1678">
        <f t="shared" si="1"/>
        <v>0</v>
      </c>
      <c r="I50" s="851">
        <f t="shared" si="1"/>
        <v>659.56200000000001</v>
      </c>
      <c r="J50" s="353">
        <f t="shared" si="1"/>
        <v>725.51900000000001</v>
      </c>
      <c r="K50" s="1858"/>
      <c r="L50" s="1858"/>
      <c r="M50" s="1858"/>
      <c r="N50" s="1181"/>
      <c r="O50" s="1858"/>
      <c r="P50" s="1858"/>
      <c r="Q50" s="1858"/>
      <c r="R50" s="1858"/>
      <c r="S50" s="1858"/>
      <c r="T50" s="1858"/>
      <c r="U50" s="1678"/>
    </row>
    <row r="51" spans="1:27" ht="21.5" hidden="1" thickBot="1" x14ac:dyDescent="0.3">
      <c r="A51" s="1179"/>
      <c r="B51" s="1117" t="s">
        <v>589</v>
      </c>
      <c r="C51" s="1188"/>
      <c r="D51" s="409" t="s">
        <v>456</v>
      </c>
      <c r="E51" s="409" t="s">
        <v>495</v>
      </c>
      <c r="F51" s="409" t="s">
        <v>113</v>
      </c>
      <c r="G51" s="1662"/>
      <c r="H51" s="1678">
        <f t="shared" si="1"/>
        <v>0</v>
      </c>
      <c r="I51" s="851">
        <f t="shared" si="1"/>
        <v>659.56200000000001</v>
      </c>
      <c r="J51" s="353">
        <f t="shared" si="1"/>
        <v>725.51900000000001</v>
      </c>
      <c r="K51" s="1858"/>
      <c r="L51" s="1858"/>
      <c r="M51" s="1858"/>
      <c r="N51" s="1181"/>
      <c r="O51" s="1858"/>
      <c r="P51" s="1858"/>
      <c r="Q51" s="1858"/>
      <c r="R51" s="1858"/>
      <c r="S51" s="1858"/>
      <c r="T51" s="1858"/>
      <c r="U51" s="1678"/>
    </row>
    <row r="52" spans="1:27" ht="13" hidden="1" thickBot="1" x14ac:dyDescent="0.3">
      <c r="A52" s="842"/>
      <c r="B52" s="1182" t="s">
        <v>571</v>
      </c>
      <c r="C52" s="1183"/>
      <c r="D52" s="409" t="s">
        <v>456</v>
      </c>
      <c r="E52" s="409" t="s">
        <v>495</v>
      </c>
      <c r="F52" s="409" t="s">
        <v>113</v>
      </c>
      <c r="G52" s="1662" t="s">
        <v>5</v>
      </c>
      <c r="H52" s="1678"/>
      <c r="I52" s="851">
        <v>659.56200000000001</v>
      </c>
      <c r="J52" s="352">
        <v>725.51900000000001</v>
      </c>
      <c r="K52" s="1858">
        <v>0</v>
      </c>
      <c r="L52" s="1858"/>
      <c r="M52" s="1858"/>
      <c r="N52" s="1181"/>
      <c r="O52" s="1858"/>
      <c r="P52" s="1858"/>
      <c r="Q52" s="1858"/>
      <c r="R52" s="1858"/>
      <c r="S52" s="1858"/>
      <c r="T52" s="1858"/>
      <c r="U52" s="1678"/>
    </row>
    <row r="53" spans="1:27" ht="21.5" hidden="1" thickBot="1" x14ac:dyDescent="0.3">
      <c r="A53" s="842"/>
      <c r="B53" s="1117" t="s">
        <v>122</v>
      </c>
      <c r="C53" s="1189"/>
      <c r="D53" s="408" t="s">
        <v>456</v>
      </c>
      <c r="E53" s="408" t="s">
        <v>585</v>
      </c>
      <c r="F53" s="408"/>
      <c r="G53" s="1661"/>
      <c r="H53" s="1677"/>
      <c r="I53" s="850">
        <f t="shared" ref="H53:J57" si="2">I54</f>
        <v>0</v>
      </c>
      <c r="J53" s="354">
        <f t="shared" si="2"/>
        <v>0</v>
      </c>
      <c r="K53" s="1858"/>
      <c r="L53" s="1858"/>
      <c r="M53" s="1858"/>
      <c r="N53" s="1178"/>
      <c r="O53" s="1858"/>
      <c r="P53" s="1858"/>
      <c r="Q53" s="1858"/>
      <c r="R53" s="1858"/>
      <c r="S53" s="1858"/>
      <c r="T53" s="1858"/>
      <c r="U53" s="1677"/>
    </row>
    <row r="54" spans="1:27" ht="21.5" hidden="1" thickBot="1" x14ac:dyDescent="0.3">
      <c r="A54" s="1179"/>
      <c r="B54" s="753" t="s">
        <v>588</v>
      </c>
      <c r="C54" s="1180"/>
      <c r="D54" s="409" t="s">
        <v>456</v>
      </c>
      <c r="E54" s="409" t="s">
        <v>585</v>
      </c>
      <c r="F54" s="409" t="s">
        <v>157</v>
      </c>
      <c r="G54" s="1662"/>
      <c r="H54" s="1678">
        <f t="shared" si="2"/>
        <v>0</v>
      </c>
      <c r="I54" s="851">
        <f t="shared" si="2"/>
        <v>0</v>
      </c>
      <c r="J54" s="352">
        <f t="shared" si="2"/>
        <v>0</v>
      </c>
      <c r="K54" s="1858"/>
      <c r="L54" s="1858"/>
      <c r="M54" s="1858"/>
      <c r="N54" s="1181">
        <f t="shared" ref="N54:N57" si="3">N55</f>
        <v>0</v>
      </c>
      <c r="O54" s="1858"/>
      <c r="P54" s="1858"/>
      <c r="Q54" s="1858"/>
      <c r="R54" s="1858"/>
      <c r="S54" s="1858"/>
      <c r="T54" s="1858"/>
      <c r="U54" s="1678">
        <f t="shared" ref="U54:U57" si="4">U55</f>
        <v>0</v>
      </c>
    </row>
    <row r="55" spans="1:27" ht="21.5" hidden="1" thickBot="1" x14ac:dyDescent="0.3">
      <c r="A55" s="842"/>
      <c r="B55" s="753" t="s">
        <v>587</v>
      </c>
      <c r="C55" s="1180"/>
      <c r="D55" s="409" t="s">
        <v>456</v>
      </c>
      <c r="E55" s="409" t="s">
        <v>585</v>
      </c>
      <c r="F55" s="409" t="s">
        <v>155</v>
      </c>
      <c r="G55" s="1662"/>
      <c r="H55" s="1678">
        <f t="shared" si="2"/>
        <v>0</v>
      </c>
      <c r="I55" s="851">
        <f t="shared" si="2"/>
        <v>0</v>
      </c>
      <c r="J55" s="352">
        <f t="shared" si="2"/>
        <v>0</v>
      </c>
      <c r="K55" s="1858"/>
      <c r="L55" s="1858"/>
      <c r="M55" s="1858"/>
      <c r="N55" s="1181">
        <f t="shared" si="3"/>
        <v>0</v>
      </c>
      <c r="O55" s="1858"/>
      <c r="P55" s="1858"/>
      <c r="Q55" s="1858"/>
      <c r="R55" s="1858"/>
      <c r="S55" s="1858"/>
      <c r="T55" s="1858"/>
      <c r="U55" s="1678">
        <f t="shared" si="4"/>
        <v>0</v>
      </c>
    </row>
    <row r="56" spans="1:27" ht="13" hidden="1" thickBot="1" x14ac:dyDescent="0.3">
      <c r="A56" s="842"/>
      <c r="B56" s="753" t="s">
        <v>582</v>
      </c>
      <c r="C56" s="1180"/>
      <c r="D56" s="409" t="s">
        <v>456</v>
      </c>
      <c r="E56" s="409" t="s">
        <v>585</v>
      </c>
      <c r="F56" s="409" t="s">
        <v>154</v>
      </c>
      <c r="G56" s="1662"/>
      <c r="H56" s="1678">
        <f t="shared" si="2"/>
        <v>0</v>
      </c>
      <c r="I56" s="851">
        <f t="shared" si="2"/>
        <v>0</v>
      </c>
      <c r="J56" s="352">
        <f t="shared" si="2"/>
        <v>0</v>
      </c>
      <c r="K56" s="1858"/>
      <c r="L56" s="1858"/>
      <c r="M56" s="1858"/>
      <c r="N56" s="1181">
        <f t="shared" si="3"/>
        <v>0</v>
      </c>
      <c r="O56" s="1858"/>
      <c r="P56" s="1858"/>
      <c r="Q56" s="1858"/>
      <c r="R56" s="1858"/>
      <c r="S56" s="1858"/>
      <c r="T56" s="1858"/>
      <c r="U56" s="1678">
        <f t="shared" si="4"/>
        <v>0</v>
      </c>
    </row>
    <row r="57" spans="1:27" ht="21.5" hidden="1" thickBot="1" x14ac:dyDescent="0.3">
      <c r="A57" s="842"/>
      <c r="B57" s="1117" t="s">
        <v>586</v>
      </c>
      <c r="C57" s="1188"/>
      <c r="D57" s="409" t="s">
        <v>456</v>
      </c>
      <c r="E57" s="409" t="s">
        <v>585</v>
      </c>
      <c r="F57" s="409" t="s">
        <v>129</v>
      </c>
      <c r="G57" s="1662"/>
      <c r="H57" s="1678">
        <f t="shared" si="2"/>
        <v>0</v>
      </c>
      <c r="I57" s="851">
        <f t="shared" si="2"/>
        <v>0</v>
      </c>
      <c r="J57" s="352">
        <f t="shared" si="2"/>
        <v>0</v>
      </c>
      <c r="K57" s="1858"/>
      <c r="L57" s="1858"/>
      <c r="M57" s="1858"/>
      <c r="N57" s="1181">
        <f t="shared" si="3"/>
        <v>0</v>
      </c>
      <c r="O57" s="1858"/>
      <c r="P57" s="1858"/>
      <c r="Q57" s="1858"/>
      <c r="R57" s="1858"/>
      <c r="S57" s="1858"/>
      <c r="T57" s="1858"/>
      <c r="U57" s="1678">
        <f t="shared" si="4"/>
        <v>0</v>
      </c>
    </row>
    <row r="58" spans="1:27" ht="13" hidden="1" thickBot="1" x14ac:dyDescent="0.3">
      <c r="A58" s="1190"/>
      <c r="B58" s="1191" t="s">
        <v>575</v>
      </c>
      <c r="C58" s="1192"/>
      <c r="D58" s="1193" t="s">
        <v>456</v>
      </c>
      <c r="E58" s="1193" t="s">
        <v>585</v>
      </c>
      <c r="F58" s="1193" t="s">
        <v>129</v>
      </c>
      <c r="G58" s="1663" t="s">
        <v>120</v>
      </c>
      <c r="H58" s="1681"/>
      <c r="I58" s="852"/>
      <c r="J58" s="358"/>
      <c r="K58" s="1858"/>
      <c r="L58" s="1858"/>
      <c r="M58" s="1858"/>
      <c r="N58" s="1194"/>
      <c r="O58" s="1858"/>
      <c r="P58" s="1858"/>
      <c r="Q58" s="1858"/>
      <c r="R58" s="1858"/>
      <c r="S58" s="1858"/>
      <c r="T58" s="1858"/>
      <c r="U58" s="1681"/>
    </row>
    <row r="59" spans="1:27" ht="23.5" hidden="1" thickBot="1" x14ac:dyDescent="0.3">
      <c r="A59" s="1168">
        <v>2</v>
      </c>
      <c r="B59" s="1171" t="s">
        <v>584</v>
      </c>
      <c r="C59" s="1161" t="s">
        <v>430</v>
      </c>
      <c r="D59" s="1161"/>
      <c r="E59" s="1161"/>
      <c r="F59" s="1161"/>
      <c r="G59" s="1658"/>
      <c r="H59" s="1675">
        <f>H60+H136+H171+H228+H367+H382+H409+H428+H126</f>
        <v>104967.022</v>
      </c>
      <c r="I59" s="848">
        <f>I60+I136+I171+I228+I367+I382+I409+I428+I126</f>
        <v>33621.64</v>
      </c>
      <c r="J59" s="293">
        <f>J60+J136+J171+J228+J367+J382+J409+J428+J126</f>
        <v>31233.512999999999</v>
      </c>
      <c r="K59" s="1858"/>
      <c r="L59" s="1858"/>
      <c r="M59" s="1858"/>
      <c r="N59" s="1170">
        <f>N60+N136+N171+N228+N367+N382+N409+N428+N126</f>
        <v>91804.525000000009</v>
      </c>
      <c r="O59" s="1858"/>
      <c r="P59" s="1858"/>
      <c r="Q59" s="1858"/>
      <c r="R59" s="1858"/>
      <c r="S59" s="1858"/>
      <c r="T59" s="1858"/>
      <c r="U59" s="1675">
        <f>U60+U136+U171+U228+U367+U382+U409+U428+U126</f>
        <v>90457.053</v>
      </c>
    </row>
    <row r="60" spans="1:27" ht="13" hidden="1" thickBot="1" x14ac:dyDescent="0.3">
      <c r="A60" s="1841"/>
      <c r="B60" s="1842" t="s">
        <v>431</v>
      </c>
      <c r="C60" s="1843"/>
      <c r="D60" s="1844" t="s">
        <v>456</v>
      </c>
      <c r="E60" s="1844" t="s">
        <v>459</v>
      </c>
      <c r="F60" s="1844"/>
      <c r="G60" s="1845"/>
      <c r="H60" s="1674">
        <f>H61+H99+H106+H92</f>
        <v>27133.469980000002</v>
      </c>
      <c r="I60" s="1846">
        <f>I61+I99+I106</f>
        <v>15821.640000000001</v>
      </c>
      <c r="J60" s="1847">
        <f>J61+J99+J106</f>
        <v>16796.02</v>
      </c>
      <c r="K60" s="1858"/>
      <c r="L60" s="1858"/>
      <c r="M60" s="1858"/>
      <c r="N60" s="1167">
        <f>N61+N99+N106+N92</f>
        <v>22329.050999999999</v>
      </c>
      <c r="O60" s="1858"/>
      <c r="P60" s="1858"/>
      <c r="Q60" s="1858"/>
      <c r="R60" s="1858"/>
      <c r="S60" s="1858"/>
      <c r="T60" s="1858"/>
      <c r="U60" s="1674">
        <f>U61+U99+U106+U92</f>
        <v>22649.812000000002</v>
      </c>
    </row>
    <row r="61" spans="1:27" ht="34.5" x14ac:dyDescent="0.25">
      <c r="A61" s="1848"/>
      <c r="B61" s="1849" t="s">
        <v>105</v>
      </c>
      <c r="C61" s="1850"/>
      <c r="D61" s="1361" t="s">
        <v>456</v>
      </c>
      <c r="E61" s="1361" t="s">
        <v>452</v>
      </c>
      <c r="F61" s="1361"/>
      <c r="G61" s="1851"/>
      <c r="H61" s="1852">
        <f>H62</f>
        <v>19041.704000000002</v>
      </c>
      <c r="I61" s="1853">
        <f>I62</f>
        <v>15223.140000000001</v>
      </c>
      <c r="J61" s="1854">
        <f>J62</f>
        <v>16197.52</v>
      </c>
      <c r="K61" s="1855">
        <f>K67+K69+K71+K74+K77+K84+K91</f>
        <v>17500.908000000003</v>
      </c>
      <c r="L61" s="1855">
        <f>18156.908</f>
        <v>18156.907999999999</v>
      </c>
      <c r="M61" s="1855">
        <f>L61-K61</f>
        <v>655.99999999999636</v>
      </c>
      <c r="N61" s="1856">
        <f>N62</f>
        <v>18529.050999999999</v>
      </c>
      <c r="O61" s="1855"/>
      <c r="P61" s="1855"/>
      <c r="Q61" s="1855"/>
      <c r="R61" s="1855"/>
      <c r="S61" s="1855"/>
      <c r="T61" s="1855"/>
      <c r="U61" s="1852">
        <f>U62</f>
        <v>18769.812000000002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409" t="s">
        <v>456</v>
      </c>
      <c r="E62" s="409" t="s">
        <v>452</v>
      </c>
      <c r="F62" s="409" t="s">
        <v>157</v>
      </c>
      <c r="G62" s="1662"/>
      <c r="H62" s="1678">
        <f>H63+H80</f>
        <v>19041.704000000002</v>
      </c>
      <c r="I62" s="851">
        <f>I63+I80</f>
        <v>15223.140000000001</v>
      </c>
      <c r="J62" s="353">
        <f>J63+J80</f>
        <v>16197.52</v>
      </c>
      <c r="K62" s="1858"/>
      <c r="L62" s="1858"/>
      <c r="M62" s="1858"/>
      <c r="N62" s="1181">
        <f>N63+N80</f>
        <v>18529.050999999999</v>
      </c>
      <c r="O62" s="1858"/>
      <c r="P62" s="1858"/>
      <c r="Q62" s="1858"/>
      <c r="R62" s="1858"/>
      <c r="S62" s="1858"/>
      <c r="T62" s="1858"/>
      <c r="U62" s="1678">
        <f>U63+U80</f>
        <v>18769.812000000002</v>
      </c>
      <c r="V62" s="237"/>
    </row>
    <row r="63" spans="1:27" ht="30.75" customHeight="1" x14ac:dyDescent="0.25">
      <c r="A63" s="842"/>
      <c r="B63" s="1197" t="s">
        <v>156</v>
      </c>
      <c r="C63" s="1180"/>
      <c r="D63" s="409" t="s">
        <v>456</v>
      </c>
      <c r="E63" s="409" t="s">
        <v>452</v>
      </c>
      <c r="F63" s="409" t="s">
        <v>155</v>
      </c>
      <c r="G63" s="1662"/>
      <c r="H63" s="1678">
        <f>H64</f>
        <v>17468.59</v>
      </c>
      <c r="I63" s="851">
        <f>I64</f>
        <v>13595.477000000001</v>
      </c>
      <c r="J63" s="353">
        <f>J64</f>
        <v>14414.787</v>
      </c>
      <c r="K63" s="1858"/>
      <c r="L63" s="1858"/>
      <c r="M63" s="1858"/>
      <c r="N63" s="1181">
        <f>N64</f>
        <v>16893.011999999999</v>
      </c>
      <c r="O63" s="1858"/>
      <c r="P63" s="1858"/>
      <c r="Q63" s="1858"/>
      <c r="R63" s="1858"/>
      <c r="S63" s="1858"/>
      <c r="T63" s="1858"/>
      <c r="U63" s="1678">
        <f>U64</f>
        <v>17068.332000000002</v>
      </c>
    </row>
    <row r="64" spans="1:27" x14ac:dyDescent="0.25">
      <c r="A64" s="842"/>
      <c r="B64" s="753" t="s">
        <v>582</v>
      </c>
      <c r="C64" s="1180"/>
      <c r="D64" s="409" t="s">
        <v>456</v>
      </c>
      <c r="E64" s="409" t="s">
        <v>452</v>
      </c>
      <c r="F64" s="409" t="s">
        <v>154</v>
      </c>
      <c r="G64" s="1662"/>
      <c r="H64" s="1678">
        <f>H65+H72+H75+H78</f>
        <v>17468.59</v>
      </c>
      <c r="I64" s="851">
        <f>I65+I72+I75+I78</f>
        <v>13595.477000000001</v>
      </c>
      <c r="J64" s="353">
        <f>J65+J72+J75+J78</f>
        <v>14414.787</v>
      </c>
      <c r="K64" s="1858"/>
      <c r="L64" s="1858"/>
      <c r="M64" s="1858"/>
      <c r="N64" s="1181">
        <f>N65+N72+N75+N78</f>
        <v>16893.011999999999</v>
      </c>
      <c r="O64" s="1858"/>
      <c r="P64" s="1858"/>
      <c r="Q64" s="1858"/>
      <c r="R64" s="1858"/>
      <c r="S64" s="1858"/>
      <c r="T64" s="1858"/>
      <c r="U64" s="1678">
        <f>U65+U72+U75+U78</f>
        <v>17068.332000000002</v>
      </c>
    </row>
    <row r="65" spans="1:21" x14ac:dyDescent="0.25">
      <c r="A65" s="842"/>
      <c r="B65" s="1197" t="s">
        <v>153</v>
      </c>
      <c r="C65" s="1188"/>
      <c r="D65" s="409" t="s">
        <v>456</v>
      </c>
      <c r="E65" s="409" t="s">
        <v>452</v>
      </c>
      <c r="F65" s="409" t="s">
        <v>152</v>
      </c>
      <c r="G65" s="1662"/>
      <c r="H65" s="1678">
        <f>H67+H69+H71</f>
        <v>17093.27</v>
      </c>
      <c r="I65" s="851">
        <f>I67+I69</f>
        <v>13595.477000000001</v>
      </c>
      <c r="J65" s="353">
        <f>J67+J69</f>
        <v>14414.787</v>
      </c>
      <c r="K65" s="1858"/>
      <c r="L65" s="1858"/>
      <c r="M65" s="1858"/>
      <c r="N65" s="1181">
        <f>N67+N69+N71</f>
        <v>16893.011999999999</v>
      </c>
      <c r="O65" s="1858"/>
      <c r="P65" s="1858"/>
      <c r="Q65" s="1858"/>
      <c r="R65" s="1858"/>
      <c r="S65" s="1858"/>
      <c r="T65" s="1858"/>
      <c r="U65" s="1678">
        <f>U67+U69+U71</f>
        <v>17068.332000000002</v>
      </c>
    </row>
    <row r="66" spans="1:21" ht="39" x14ac:dyDescent="0.25">
      <c r="A66" s="842"/>
      <c r="B66" s="49" t="s">
        <v>1063</v>
      </c>
      <c r="C66" s="1188"/>
      <c r="D66" s="409" t="s">
        <v>456</v>
      </c>
      <c r="E66" s="409" t="s">
        <v>452</v>
      </c>
      <c r="F66" s="409" t="s">
        <v>152</v>
      </c>
      <c r="G66" s="1662" t="s">
        <v>1062</v>
      </c>
      <c r="H66" s="1678">
        <f>H67</f>
        <v>13914.111999999999</v>
      </c>
      <c r="I66" s="851"/>
      <c r="J66" s="1187"/>
      <c r="K66" s="1858"/>
      <c r="L66" s="1858"/>
      <c r="M66" s="1858"/>
      <c r="N66" s="1181">
        <f t="shared" ref="N66:U66" si="5">N67</f>
        <v>14470.677</v>
      </c>
      <c r="O66" s="1858">
        <f t="shared" si="5"/>
        <v>0</v>
      </c>
      <c r="P66" s="1858">
        <f t="shared" si="5"/>
        <v>0</v>
      </c>
      <c r="Q66" s="1858">
        <f t="shared" si="5"/>
        <v>0</v>
      </c>
      <c r="R66" s="1858">
        <f t="shared" si="5"/>
        <v>0</v>
      </c>
      <c r="S66" s="1858">
        <f t="shared" si="5"/>
        <v>0</v>
      </c>
      <c r="T66" s="1858">
        <f t="shared" si="5"/>
        <v>0</v>
      </c>
      <c r="U66" s="1678">
        <f t="shared" si="5"/>
        <v>15049.504000000001</v>
      </c>
    </row>
    <row r="67" spans="1:21" x14ac:dyDescent="0.25">
      <c r="A67" s="842"/>
      <c r="B67" s="1182" t="s">
        <v>571</v>
      </c>
      <c r="C67" s="1183"/>
      <c r="D67" s="409" t="s">
        <v>456</v>
      </c>
      <c r="E67" s="409" t="s">
        <v>452</v>
      </c>
      <c r="F67" s="409" t="s">
        <v>152</v>
      </c>
      <c r="G67" s="1662" t="s">
        <v>5</v>
      </c>
      <c r="H67" s="1678">
        <v>13914.111999999999</v>
      </c>
      <c r="I67" s="851">
        <v>8998.8070000000007</v>
      </c>
      <c r="J67" s="352">
        <v>9997.6880000000001</v>
      </c>
      <c r="K67" s="1858">
        <f>11012.345+22.735+0.6+3325.728-618.8</f>
        <v>13742.608</v>
      </c>
      <c r="L67" s="1858"/>
      <c r="M67" s="1858"/>
      <c r="N67" s="1181">
        <v>14470.677</v>
      </c>
      <c r="O67" s="1858"/>
      <c r="P67" s="1858"/>
      <c r="Q67" s="1858"/>
      <c r="R67" s="1858"/>
      <c r="S67" s="1858"/>
      <c r="T67" s="1858"/>
      <c r="U67" s="1678">
        <v>15049.504000000001</v>
      </c>
    </row>
    <row r="68" spans="1:21" x14ac:dyDescent="0.25">
      <c r="A68" s="842"/>
      <c r="B68" s="753" t="s">
        <v>948</v>
      </c>
      <c r="C68" s="1183"/>
      <c r="D68" s="409" t="s">
        <v>456</v>
      </c>
      <c r="E68" s="409" t="s">
        <v>452</v>
      </c>
      <c r="F68" s="409" t="s">
        <v>152</v>
      </c>
      <c r="G68" s="1662" t="s">
        <v>955</v>
      </c>
      <c r="H68" s="1678"/>
      <c r="I68" s="851"/>
      <c r="J68" s="352"/>
      <c r="K68" s="1858"/>
      <c r="L68" s="1858"/>
      <c r="M68" s="1858"/>
      <c r="N68" s="1181"/>
      <c r="O68" s="1858"/>
      <c r="P68" s="1858"/>
      <c r="Q68" s="1858"/>
      <c r="R68" s="1858"/>
      <c r="S68" s="1858"/>
      <c r="T68" s="1858"/>
      <c r="U68" s="1678"/>
    </row>
    <row r="69" spans="1:21" ht="21" x14ac:dyDescent="0.25">
      <c r="A69" s="842"/>
      <c r="B69" s="1182" t="s">
        <v>454</v>
      </c>
      <c r="C69" s="1183"/>
      <c r="D69" s="409" t="s">
        <v>456</v>
      </c>
      <c r="E69" s="409" t="s">
        <v>452</v>
      </c>
      <c r="F69" s="409" t="s">
        <v>152</v>
      </c>
      <c r="G69" s="1662" t="s">
        <v>1</v>
      </c>
      <c r="H69" s="1678">
        <v>3169.1579999999999</v>
      </c>
      <c r="I69" s="851">
        <v>4596.67</v>
      </c>
      <c r="J69" s="352">
        <v>4417.0990000000002</v>
      </c>
      <c r="K69" s="1859">
        <f>1845.107-350.262-37.2</f>
        <v>1457.645</v>
      </c>
      <c r="L69" s="1858"/>
      <c r="M69" s="1858"/>
      <c r="N69" s="1181">
        <v>2412.335</v>
      </c>
      <c r="O69" s="1858"/>
      <c r="P69" s="1858"/>
      <c r="Q69" s="1858"/>
      <c r="R69" s="1858"/>
      <c r="S69" s="1858"/>
      <c r="T69" s="1858"/>
      <c r="U69" s="1678">
        <f>2508.828-500</f>
        <v>2008.828</v>
      </c>
    </row>
    <row r="70" spans="1:21" x14ac:dyDescent="0.25">
      <c r="A70" s="842"/>
      <c r="B70" s="1198" t="s">
        <v>1068</v>
      </c>
      <c r="C70" s="1183"/>
      <c r="D70" s="409" t="s">
        <v>456</v>
      </c>
      <c r="E70" s="409" t="s">
        <v>452</v>
      </c>
      <c r="F70" s="409" t="s">
        <v>152</v>
      </c>
      <c r="G70" s="1662" t="s">
        <v>1064</v>
      </c>
      <c r="H70" s="1678">
        <f t="shared" ref="H70:U70" si="6">H71</f>
        <v>10</v>
      </c>
      <c r="I70" s="851">
        <f t="shared" si="6"/>
        <v>0</v>
      </c>
      <c r="J70" s="352">
        <f t="shared" si="6"/>
        <v>0</v>
      </c>
      <c r="K70" s="1859">
        <f t="shared" si="6"/>
        <v>10</v>
      </c>
      <c r="L70" s="1858">
        <f t="shared" si="6"/>
        <v>0</v>
      </c>
      <c r="M70" s="1858">
        <f t="shared" si="6"/>
        <v>0</v>
      </c>
      <c r="N70" s="1181">
        <f t="shared" si="6"/>
        <v>10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78">
        <f t="shared" si="6"/>
        <v>10</v>
      </c>
    </row>
    <row r="71" spans="1:21" x14ac:dyDescent="0.25">
      <c r="A71" s="842"/>
      <c r="B71" s="1198" t="s">
        <v>457</v>
      </c>
      <c r="C71" s="1183"/>
      <c r="D71" s="409" t="s">
        <v>456</v>
      </c>
      <c r="E71" s="409" t="s">
        <v>452</v>
      </c>
      <c r="F71" s="409" t="s">
        <v>152</v>
      </c>
      <c r="G71" s="1662" t="s">
        <v>91</v>
      </c>
      <c r="H71" s="1678">
        <v>10</v>
      </c>
      <c r="I71" s="851"/>
      <c r="J71" s="352"/>
      <c r="K71" s="1859">
        <v>10</v>
      </c>
      <c r="L71" s="1858"/>
      <c r="M71" s="1858"/>
      <c r="N71" s="1181">
        <v>10</v>
      </c>
      <c r="O71" s="1858"/>
      <c r="P71" s="1858"/>
      <c r="Q71" s="1858"/>
      <c r="R71" s="1858"/>
      <c r="S71" s="1858"/>
      <c r="T71" s="1858"/>
      <c r="U71" s="1678">
        <v>10</v>
      </c>
    </row>
    <row r="72" spans="1:21" ht="21" x14ac:dyDescent="0.25">
      <c r="A72" s="842"/>
      <c r="B72" s="1199" t="s">
        <v>151</v>
      </c>
      <c r="C72" s="1188"/>
      <c r="D72" s="409" t="s">
        <v>456</v>
      </c>
      <c r="E72" s="409" t="s">
        <v>452</v>
      </c>
      <c r="F72" s="409" t="s">
        <v>623</v>
      </c>
      <c r="G72" s="1662"/>
      <c r="H72" s="1682">
        <f>H74</f>
        <v>54.32</v>
      </c>
      <c r="I72" s="529">
        <f>I74</f>
        <v>0</v>
      </c>
      <c r="J72" s="269">
        <f>J74</f>
        <v>0</v>
      </c>
      <c r="K72" s="1858"/>
      <c r="L72" s="1858"/>
      <c r="M72" s="1858"/>
      <c r="N72" s="1200">
        <f>N74</f>
        <v>0</v>
      </c>
      <c r="O72" s="1858"/>
      <c r="P72" s="1858"/>
      <c r="Q72" s="1858"/>
      <c r="R72" s="1858"/>
      <c r="S72" s="1858"/>
      <c r="T72" s="1858"/>
      <c r="U72" s="1682">
        <f>U74</f>
        <v>0</v>
      </c>
    </row>
    <row r="73" spans="1:21" x14ac:dyDescent="0.25">
      <c r="A73" s="842"/>
      <c r="B73" s="1199" t="s">
        <v>1069</v>
      </c>
      <c r="C73" s="1188"/>
      <c r="D73" s="409" t="s">
        <v>456</v>
      </c>
      <c r="E73" s="409" t="s">
        <v>452</v>
      </c>
      <c r="F73" s="409" t="s">
        <v>623</v>
      </c>
      <c r="G73" s="1662" t="s">
        <v>1066</v>
      </c>
      <c r="H73" s="1682">
        <f t="shared" ref="H73:U73" si="7">H74</f>
        <v>54.32</v>
      </c>
      <c r="I73" s="529">
        <f t="shared" si="7"/>
        <v>0</v>
      </c>
      <c r="J73" s="269">
        <f t="shared" si="7"/>
        <v>0</v>
      </c>
      <c r="K73" s="1858">
        <f t="shared" si="7"/>
        <v>50.6</v>
      </c>
      <c r="L73" s="1858">
        <f t="shared" si="7"/>
        <v>0</v>
      </c>
      <c r="M73" s="1858">
        <f t="shared" si="7"/>
        <v>0</v>
      </c>
      <c r="N73" s="1200">
        <f t="shared" si="7"/>
        <v>0</v>
      </c>
      <c r="O73" s="1858">
        <f t="shared" si="7"/>
        <v>0</v>
      </c>
      <c r="P73" s="1858">
        <f t="shared" si="7"/>
        <v>0</v>
      </c>
      <c r="Q73" s="1858">
        <f t="shared" si="7"/>
        <v>0</v>
      </c>
      <c r="R73" s="1858">
        <f t="shared" si="7"/>
        <v>0</v>
      </c>
      <c r="S73" s="1858">
        <f t="shared" si="7"/>
        <v>0</v>
      </c>
      <c r="T73" s="1858">
        <f t="shared" si="7"/>
        <v>0</v>
      </c>
      <c r="U73" s="1682">
        <f t="shared" si="7"/>
        <v>0</v>
      </c>
    </row>
    <row r="74" spans="1:21" x14ac:dyDescent="0.25">
      <c r="A74" s="842"/>
      <c r="B74" s="1182" t="s">
        <v>575</v>
      </c>
      <c r="C74" s="1183"/>
      <c r="D74" s="409" t="s">
        <v>456</v>
      </c>
      <c r="E74" s="409" t="s">
        <v>452</v>
      </c>
      <c r="F74" s="409" t="s">
        <v>623</v>
      </c>
      <c r="G74" s="1662" t="s">
        <v>120</v>
      </c>
      <c r="H74" s="1682">
        <v>54.32</v>
      </c>
      <c r="I74" s="529"/>
      <c r="J74" s="269"/>
      <c r="K74" s="1858">
        <v>50.6</v>
      </c>
      <c r="L74" s="1858"/>
      <c r="M74" s="1858"/>
      <c r="N74" s="1200">
        <v>0</v>
      </c>
      <c r="O74" s="1858"/>
      <c r="P74" s="1858"/>
      <c r="Q74" s="1858"/>
      <c r="R74" s="1858"/>
      <c r="S74" s="1858"/>
      <c r="T74" s="1858"/>
      <c r="U74" s="1682">
        <v>0</v>
      </c>
    </row>
    <row r="75" spans="1:21" ht="21" x14ac:dyDescent="0.25">
      <c r="A75" s="842"/>
      <c r="B75" s="1201" t="s">
        <v>149</v>
      </c>
      <c r="C75" s="1188"/>
      <c r="D75" s="409" t="s">
        <v>456</v>
      </c>
      <c r="E75" s="409" t="s">
        <v>452</v>
      </c>
      <c r="F75" s="409" t="s">
        <v>148</v>
      </c>
      <c r="G75" s="1662"/>
      <c r="H75" s="1682">
        <f>H77</f>
        <v>321</v>
      </c>
      <c r="I75" s="529">
        <f>I77</f>
        <v>0</v>
      </c>
      <c r="J75" s="269">
        <f>J77</f>
        <v>0</v>
      </c>
      <c r="K75" s="1858"/>
      <c r="L75" s="1858"/>
      <c r="M75" s="1858"/>
      <c r="N75" s="1200">
        <f>N77</f>
        <v>0</v>
      </c>
      <c r="O75" s="1858"/>
      <c r="P75" s="1858"/>
      <c r="Q75" s="1858"/>
      <c r="R75" s="1858"/>
      <c r="S75" s="1858"/>
      <c r="T75" s="1858"/>
      <c r="U75" s="1682">
        <f>U77</f>
        <v>0</v>
      </c>
    </row>
    <row r="76" spans="1:21" x14ac:dyDescent="0.25">
      <c r="A76" s="842"/>
      <c r="B76" s="1201" t="s">
        <v>1069</v>
      </c>
      <c r="C76" s="1188"/>
      <c r="D76" s="409" t="s">
        <v>456</v>
      </c>
      <c r="E76" s="409" t="s">
        <v>452</v>
      </c>
      <c r="F76" s="409" t="s">
        <v>148</v>
      </c>
      <c r="G76" s="1662" t="s">
        <v>1066</v>
      </c>
      <c r="H76" s="1682">
        <f t="shared" ref="H76:U76" si="8">H77</f>
        <v>321</v>
      </c>
      <c r="I76" s="529">
        <f t="shared" si="8"/>
        <v>0</v>
      </c>
      <c r="J76" s="269">
        <f t="shared" si="8"/>
        <v>0</v>
      </c>
      <c r="K76" s="1858">
        <f t="shared" si="8"/>
        <v>307.5</v>
      </c>
      <c r="L76" s="1858">
        <f t="shared" si="8"/>
        <v>0</v>
      </c>
      <c r="M76" s="1858">
        <f t="shared" si="8"/>
        <v>0</v>
      </c>
      <c r="N76" s="1200">
        <f t="shared" si="8"/>
        <v>0</v>
      </c>
      <c r="O76" s="1858">
        <f t="shared" si="8"/>
        <v>0</v>
      </c>
      <c r="P76" s="1858">
        <f t="shared" si="8"/>
        <v>0</v>
      </c>
      <c r="Q76" s="1858">
        <f t="shared" si="8"/>
        <v>0</v>
      </c>
      <c r="R76" s="1858">
        <f t="shared" si="8"/>
        <v>0</v>
      </c>
      <c r="S76" s="1858">
        <f t="shared" si="8"/>
        <v>0</v>
      </c>
      <c r="T76" s="1858">
        <f t="shared" si="8"/>
        <v>0</v>
      </c>
      <c r="U76" s="1682">
        <f t="shared" si="8"/>
        <v>0</v>
      </c>
    </row>
    <row r="77" spans="1:21" x14ac:dyDescent="0.25">
      <c r="A77" s="842"/>
      <c r="B77" s="1182" t="s">
        <v>575</v>
      </c>
      <c r="C77" s="1183"/>
      <c r="D77" s="409" t="s">
        <v>456</v>
      </c>
      <c r="E77" s="409" t="s">
        <v>452</v>
      </c>
      <c r="F77" s="409" t="s">
        <v>148</v>
      </c>
      <c r="G77" s="1662" t="s">
        <v>120</v>
      </c>
      <c r="H77" s="1682">
        <v>321</v>
      </c>
      <c r="I77" s="529"/>
      <c r="J77" s="269"/>
      <c r="K77" s="1858">
        <v>307.5</v>
      </c>
      <c r="L77" s="1858"/>
      <c r="M77" s="1858"/>
      <c r="N77" s="1200">
        <v>0</v>
      </c>
      <c r="O77" s="1858"/>
      <c r="P77" s="1858"/>
      <c r="Q77" s="1858"/>
      <c r="R77" s="1858"/>
      <c r="S77" s="1858"/>
      <c r="T77" s="1858"/>
      <c r="U77" s="1682">
        <v>0</v>
      </c>
    </row>
    <row r="78" spans="1:21" ht="31.5" hidden="1" x14ac:dyDescent="0.25">
      <c r="A78" s="842"/>
      <c r="B78" s="1202" t="s">
        <v>145</v>
      </c>
      <c r="C78" s="1183"/>
      <c r="D78" s="409" t="s">
        <v>456</v>
      </c>
      <c r="E78" s="409" t="s">
        <v>452</v>
      </c>
      <c r="F78" s="409" t="s">
        <v>144</v>
      </c>
      <c r="G78" s="1662"/>
      <c r="H78" s="1682">
        <f>H79</f>
        <v>0</v>
      </c>
      <c r="I78" s="529">
        <f>I79</f>
        <v>0</v>
      </c>
      <c r="J78" s="269">
        <f>J79</f>
        <v>0</v>
      </c>
      <c r="K78" s="1858"/>
      <c r="L78" s="1858"/>
      <c r="M78" s="1858"/>
      <c r="N78" s="1200">
        <f>N79</f>
        <v>0</v>
      </c>
      <c r="O78" s="1858"/>
      <c r="P78" s="1858"/>
      <c r="Q78" s="1858"/>
      <c r="R78" s="1858"/>
      <c r="S78" s="1858"/>
      <c r="T78" s="1858"/>
      <c r="U78" s="1682">
        <f>U79</f>
        <v>0</v>
      </c>
    </row>
    <row r="79" spans="1:21" hidden="1" x14ac:dyDescent="0.25">
      <c r="A79" s="842"/>
      <c r="B79" s="1182" t="s">
        <v>575</v>
      </c>
      <c r="C79" s="1183"/>
      <c r="D79" s="409" t="s">
        <v>456</v>
      </c>
      <c r="E79" s="409" t="s">
        <v>452</v>
      </c>
      <c r="F79" s="409" t="s">
        <v>144</v>
      </c>
      <c r="G79" s="1662" t="s">
        <v>120</v>
      </c>
      <c r="H79" s="1682">
        <v>0</v>
      </c>
      <c r="I79" s="529"/>
      <c r="J79" s="269"/>
      <c r="K79" s="1858"/>
      <c r="L79" s="1858"/>
      <c r="M79" s="1858"/>
      <c r="N79" s="1200">
        <v>0</v>
      </c>
      <c r="O79" s="1858"/>
      <c r="P79" s="1858"/>
      <c r="Q79" s="1858"/>
      <c r="R79" s="1858"/>
      <c r="S79" s="1858"/>
      <c r="T79" s="1858"/>
      <c r="U79" s="1682">
        <v>0</v>
      </c>
    </row>
    <row r="80" spans="1:21" ht="31.5" x14ac:dyDescent="0.25">
      <c r="A80" s="842"/>
      <c r="B80" s="1203" t="s">
        <v>111</v>
      </c>
      <c r="C80" s="1183"/>
      <c r="D80" s="409" t="s">
        <v>456</v>
      </c>
      <c r="E80" s="409" t="s">
        <v>452</v>
      </c>
      <c r="F80" s="1204" t="s">
        <v>110</v>
      </c>
      <c r="G80" s="1662"/>
      <c r="H80" s="1682">
        <f>H81</f>
        <v>1573.114</v>
      </c>
      <c r="I80" s="529">
        <f t="shared" ref="I80:J81" si="9">I81</f>
        <v>1627.663</v>
      </c>
      <c r="J80" s="269">
        <f t="shared" si="9"/>
        <v>1782.7329999999999</v>
      </c>
      <c r="K80" s="1858"/>
      <c r="L80" s="1858"/>
      <c r="M80" s="1858"/>
      <c r="N80" s="1200">
        <f>N81</f>
        <v>1636.039</v>
      </c>
      <c r="O80" s="1858"/>
      <c r="P80" s="1858"/>
      <c r="Q80" s="1858"/>
      <c r="R80" s="1858"/>
      <c r="S80" s="1858"/>
      <c r="T80" s="1858"/>
      <c r="U80" s="1682">
        <f>U81</f>
        <v>1701.48</v>
      </c>
    </row>
    <row r="81" spans="1:21" x14ac:dyDescent="0.25">
      <c r="A81" s="842"/>
      <c r="B81" s="1197" t="s">
        <v>109</v>
      </c>
      <c r="C81" s="1183"/>
      <c r="D81" s="409" t="s">
        <v>456</v>
      </c>
      <c r="E81" s="409" t="s">
        <v>452</v>
      </c>
      <c r="F81" s="1204" t="s">
        <v>108</v>
      </c>
      <c r="G81" s="1662"/>
      <c r="H81" s="1682">
        <f>H82</f>
        <v>1573.114</v>
      </c>
      <c r="I81" s="529">
        <f t="shared" si="9"/>
        <v>1627.663</v>
      </c>
      <c r="J81" s="269">
        <f t="shared" si="9"/>
        <v>1782.7329999999999</v>
      </c>
      <c r="K81" s="1858"/>
      <c r="L81" s="1858"/>
      <c r="M81" s="1858"/>
      <c r="N81" s="1200">
        <f>N82</f>
        <v>1636.039</v>
      </c>
      <c r="O81" s="1858"/>
      <c r="P81" s="1858"/>
      <c r="Q81" s="1858"/>
      <c r="R81" s="1858"/>
      <c r="S81" s="1858"/>
      <c r="T81" s="1858"/>
      <c r="U81" s="1682">
        <f>U82</f>
        <v>1701.48</v>
      </c>
    </row>
    <row r="82" spans="1:21" ht="21" x14ac:dyDescent="0.25">
      <c r="A82" s="842"/>
      <c r="B82" s="1205" t="s">
        <v>107</v>
      </c>
      <c r="C82" s="1183"/>
      <c r="D82" s="409" t="s">
        <v>456</v>
      </c>
      <c r="E82" s="409" t="s">
        <v>452</v>
      </c>
      <c r="F82" s="1204" t="s">
        <v>104</v>
      </c>
      <c r="G82" s="1662"/>
      <c r="H82" s="1682">
        <f>H84</f>
        <v>1573.114</v>
      </c>
      <c r="I82" s="529">
        <f>I84</f>
        <v>1627.663</v>
      </c>
      <c r="J82" s="269">
        <f>J84</f>
        <v>1782.7329999999999</v>
      </c>
      <c r="K82" s="1858"/>
      <c r="L82" s="1858"/>
      <c r="M82" s="1858"/>
      <c r="N82" s="1200">
        <f>N84</f>
        <v>1636.039</v>
      </c>
      <c r="O82" s="1858"/>
      <c r="P82" s="1858"/>
      <c r="Q82" s="1858"/>
      <c r="R82" s="1858"/>
      <c r="S82" s="1858"/>
      <c r="T82" s="1858"/>
      <c r="U82" s="1682">
        <f>U84</f>
        <v>1701.48</v>
      </c>
    </row>
    <row r="83" spans="1:21" ht="39" x14ac:dyDescent="0.25">
      <c r="A83" s="842"/>
      <c r="B83" s="49" t="s">
        <v>1063</v>
      </c>
      <c r="C83" s="1183"/>
      <c r="D83" s="409" t="s">
        <v>456</v>
      </c>
      <c r="E83" s="409" t="s">
        <v>452</v>
      </c>
      <c r="F83" s="1204" t="s">
        <v>104</v>
      </c>
      <c r="G83" s="1662" t="s">
        <v>1062</v>
      </c>
      <c r="H83" s="1682">
        <f t="shared" ref="H83:U83" si="10">H84</f>
        <v>1573.114</v>
      </c>
      <c r="I83" s="529">
        <f t="shared" si="10"/>
        <v>1627.663</v>
      </c>
      <c r="J83" s="269">
        <f t="shared" si="10"/>
        <v>1782.7329999999999</v>
      </c>
      <c r="K83" s="1858">
        <f t="shared" si="10"/>
        <v>1512.6</v>
      </c>
      <c r="L83" s="1858">
        <f t="shared" si="10"/>
        <v>0</v>
      </c>
      <c r="M83" s="1858">
        <f t="shared" si="10"/>
        <v>0</v>
      </c>
      <c r="N83" s="1200">
        <f t="shared" si="10"/>
        <v>1636.039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1701.48</v>
      </c>
    </row>
    <row r="84" spans="1:21" x14ac:dyDescent="0.25">
      <c r="A84" s="842"/>
      <c r="B84" s="1182" t="s">
        <v>571</v>
      </c>
      <c r="C84" s="1183"/>
      <c r="D84" s="409" t="s">
        <v>456</v>
      </c>
      <c r="E84" s="409" t="s">
        <v>452</v>
      </c>
      <c r="F84" s="1204" t="s">
        <v>104</v>
      </c>
      <c r="G84" s="1662" t="s">
        <v>5</v>
      </c>
      <c r="H84" s="1682">
        <v>1573.114</v>
      </c>
      <c r="I84" s="529">
        <v>1627.663</v>
      </c>
      <c r="J84" s="269">
        <v>1782.7329999999999</v>
      </c>
      <c r="K84" s="1858">
        <f>1161.751+350.849</f>
        <v>1512.6</v>
      </c>
      <c r="L84" s="1858"/>
      <c r="M84" s="1858"/>
      <c r="N84" s="1200">
        <v>1636.039</v>
      </c>
      <c r="O84" s="1858"/>
      <c r="P84" s="1858"/>
      <c r="Q84" s="1858"/>
      <c r="R84" s="1858"/>
      <c r="S84" s="1858"/>
      <c r="T84" s="1858"/>
      <c r="U84" s="1682">
        <v>1701.48</v>
      </c>
    </row>
    <row r="85" spans="1:21" s="760" customFormat="1" ht="23" x14ac:dyDescent="0.3">
      <c r="A85" s="842"/>
      <c r="B85" s="1206" t="s">
        <v>122</v>
      </c>
      <c r="C85" s="1207"/>
      <c r="D85" s="408" t="s">
        <v>456</v>
      </c>
      <c r="E85" s="408" t="s">
        <v>585</v>
      </c>
      <c r="F85" s="763"/>
      <c r="G85" s="1661"/>
      <c r="H85" s="1683">
        <f>H86</f>
        <v>419.70300000000003</v>
      </c>
      <c r="I85" s="841"/>
      <c r="J85" s="276"/>
      <c r="K85" s="1860"/>
      <c r="L85" s="1860"/>
      <c r="M85" s="1860"/>
      <c r="N85" s="1208">
        <f t="shared" ref="N85:U88" si="11">N86</f>
        <v>0</v>
      </c>
      <c r="O85" s="1860">
        <f t="shared" si="11"/>
        <v>0</v>
      </c>
      <c r="P85" s="1860">
        <f t="shared" si="11"/>
        <v>0</v>
      </c>
      <c r="Q85" s="1860">
        <f t="shared" si="11"/>
        <v>0</v>
      </c>
      <c r="R85" s="1860">
        <f t="shared" si="11"/>
        <v>0</v>
      </c>
      <c r="S85" s="1860">
        <f t="shared" si="11"/>
        <v>0</v>
      </c>
      <c r="T85" s="1860">
        <f t="shared" si="11"/>
        <v>0</v>
      </c>
      <c r="U85" s="1683">
        <f t="shared" si="11"/>
        <v>0</v>
      </c>
    </row>
    <row r="86" spans="1:21" ht="21" x14ac:dyDescent="0.25">
      <c r="A86" s="842"/>
      <c r="B86" s="1209" t="s">
        <v>588</v>
      </c>
      <c r="C86" s="1183"/>
      <c r="D86" s="409" t="s">
        <v>456</v>
      </c>
      <c r="E86" s="409" t="s">
        <v>585</v>
      </c>
      <c r="F86" s="1204" t="s">
        <v>157</v>
      </c>
      <c r="G86" s="1662"/>
      <c r="H86" s="1682">
        <f>H87</f>
        <v>419.70300000000003</v>
      </c>
      <c r="I86" s="529"/>
      <c r="J86" s="269"/>
      <c r="K86" s="1858"/>
      <c r="L86" s="1858"/>
      <c r="M86" s="1858"/>
      <c r="N86" s="1200">
        <f t="shared" si="11"/>
        <v>0</v>
      </c>
      <c r="O86" s="1858">
        <f t="shared" si="11"/>
        <v>0</v>
      </c>
      <c r="P86" s="1858">
        <f t="shared" si="11"/>
        <v>0</v>
      </c>
      <c r="Q86" s="1858">
        <f t="shared" si="11"/>
        <v>0</v>
      </c>
      <c r="R86" s="1858">
        <f t="shared" si="11"/>
        <v>0</v>
      </c>
      <c r="S86" s="1858">
        <f t="shared" si="11"/>
        <v>0</v>
      </c>
      <c r="T86" s="1858">
        <f t="shared" si="11"/>
        <v>0</v>
      </c>
      <c r="U86" s="1682">
        <f t="shared" si="11"/>
        <v>0</v>
      </c>
    </row>
    <row r="87" spans="1:21" ht="21" x14ac:dyDescent="0.25">
      <c r="A87" s="842"/>
      <c r="B87" s="1209" t="s">
        <v>587</v>
      </c>
      <c r="C87" s="1183"/>
      <c r="D87" s="409" t="s">
        <v>456</v>
      </c>
      <c r="E87" s="409" t="s">
        <v>585</v>
      </c>
      <c r="F87" s="1204" t="s">
        <v>155</v>
      </c>
      <c r="G87" s="1662"/>
      <c r="H87" s="1682">
        <f>H88</f>
        <v>419.70300000000003</v>
      </c>
      <c r="I87" s="529"/>
      <c r="J87" s="269"/>
      <c r="K87" s="1858"/>
      <c r="L87" s="1858"/>
      <c r="M87" s="1858"/>
      <c r="N87" s="1200">
        <f t="shared" si="11"/>
        <v>0</v>
      </c>
      <c r="O87" s="1858">
        <f t="shared" si="11"/>
        <v>0</v>
      </c>
      <c r="P87" s="1858">
        <f t="shared" si="11"/>
        <v>0</v>
      </c>
      <c r="Q87" s="1858">
        <f t="shared" si="11"/>
        <v>0</v>
      </c>
      <c r="R87" s="1858">
        <f t="shared" si="11"/>
        <v>0</v>
      </c>
      <c r="S87" s="1858">
        <f t="shared" si="11"/>
        <v>0</v>
      </c>
      <c r="T87" s="1858">
        <f t="shared" si="11"/>
        <v>0</v>
      </c>
      <c r="U87" s="1682">
        <f t="shared" si="11"/>
        <v>0</v>
      </c>
    </row>
    <row r="88" spans="1:21" x14ac:dyDescent="0.25">
      <c r="A88" s="842"/>
      <c r="B88" s="1209" t="s">
        <v>582</v>
      </c>
      <c r="C88" s="1183"/>
      <c r="D88" s="409" t="s">
        <v>456</v>
      </c>
      <c r="E88" s="409" t="s">
        <v>585</v>
      </c>
      <c r="F88" s="1204" t="s">
        <v>154</v>
      </c>
      <c r="G88" s="1662"/>
      <c r="H88" s="1682">
        <f>H89</f>
        <v>419.70300000000003</v>
      </c>
      <c r="I88" s="529"/>
      <c r="J88" s="269"/>
      <c r="K88" s="1858"/>
      <c r="L88" s="1858"/>
      <c r="M88" s="1858"/>
      <c r="N88" s="1200">
        <f t="shared" si="11"/>
        <v>0</v>
      </c>
      <c r="O88" s="1858">
        <f t="shared" si="11"/>
        <v>0</v>
      </c>
      <c r="P88" s="1858">
        <f t="shared" si="11"/>
        <v>0</v>
      </c>
      <c r="Q88" s="1858">
        <f t="shared" si="11"/>
        <v>0</v>
      </c>
      <c r="R88" s="1858">
        <f t="shared" si="11"/>
        <v>0</v>
      </c>
      <c r="S88" s="1858">
        <f t="shared" si="11"/>
        <v>0</v>
      </c>
      <c r="T88" s="1858">
        <f t="shared" si="11"/>
        <v>0</v>
      </c>
      <c r="U88" s="1682">
        <f t="shared" si="11"/>
        <v>0</v>
      </c>
    </row>
    <row r="89" spans="1:21" ht="21" x14ac:dyDescent="0.25">
      <c r="A89" s="842"/>
      <c r="B89" s="1209" t="s">
        <v>586</v>
      </c>
      <c r="C89" s="1183"/>
      <c r="D89" s="409" t="s">
        <v>456</v>
      </c>
      <c r="E89" s="409" t="s">
        <v>585</v>
      </c>
      <c r="F89" s="1204" t="s">
        <v>129</v>
      </c>
      <c r="G89" s="1662"/>
      <c r="H89" s="1682">
        <f>H91</f>
        <v>419.70300000000003</v>
      </c>
      <c r="I89" s="529"/>
      <c r="J89" s="269"/>
      <c r="K89" s="1858"/>
      <c r="L89" s="1858"/>
      <c r="M89" s="1858"/>
      <c r="N89" s="1200">
        <f t="shared" ref="N89:U89" si="12">N91</f>
        <v>0</v>
      </c>
      <c r="O89" s="1858">
        <f t="shared" si="12"/>
        <v>0</v>
      </c>
      <c r="P89" s="1858">
        <f t="shared" si="12"/>
        <v>0</v>
      </c>
      <c r="Q89" s="1858">
        <f t="shared" si="12"/>
        <v>0</v>
      </c>
      <c r="R89" s="1858">
        <f t="shared" si="12"/>
        <v>0</v>
      </c>
      <c r="S89" s="1858">
        <f t="shared" si="12"/>
        <v>0</v>
      </c>
      <c r="T89" s="1858">
        <f t="shared" si="12"/>
        <v>0</v>
      </c>
      <c r="U89" s="1682">
        <f t="shared" si="12"/>
        <v>0</v>
      </c>
    </row>
    <row r="90" spans="1:21" x14ac:dyDescent="0.25">
      <c r="A90" s="842"/>
      <c r="B90" s="1209" t="s">
        <v>1069</v>
      </c>
      <c r="C90" s="1183"/>
      <c r="D90" s="409" t="s">
        <v>456</v>
      </c>
      <c r="E90" s="409" t="s">
        <v>585</v>
      </c>
      <c r="F90" s="1204" t="s">
        <v>129</v>
      </c>
      <c r="G90" s="1662" t="s">
        <v>1066</v>
      </c>
      <c r="H90" s="1682">
        <f t="shared" ref="H90:U90" si="13">H91</f>
        <v>419.70300000000003</v>
      </c>
      <c r="I90" s="529">
        <f t="shared" si="13"/>
        <v>0</v>
      </c>
      <c r="J90" s="269">
        <f t="shared" si="13"/>
        <v>0</v>
      </c>
      <c r="K90" s="1858">
        <f t="shared" si="13"/>
        <v>419.95499999999998</v>
      </c>
      <c r="L90" s="1858">
        <f t="shared" si="13"/>
        <v>0</v>
      </c>
      <c r="M90" s="1858">
        <f t="shared" si="13"/>
        <v>0</v>
      </c>
      <c r="N90" s="1200">
        <f t="shared" si="13"/>
        <v>0</v>
      </c>
      <c r="O90" s="1858">
        <f t="shared" si="13"/>
        <v>0</v>
      </c>
      <c r="P90" s="1858">
        <f t="shared" si="13"/>
        <v>0</v>
      </c>
      <c r="Q90" s="1858">
        <f t="shared" si="13"/>
        <v>0</v>
      </c>
      <c r="R90" s="1858">
        <f t="shared" si="13"/>
        <v>0</v>
      </c>
      <c r="S90" s="1858">
        <f t="shared" si="13"/>
        <v>0</v>
      </c>
      <c r="T90" s="1858">
        <f t="shared" si="13"/>
        <v>0</v>
      </c>
      <c r="U90" s="1682">
        <f t="shared" si="13"/>
        <v>0</v>
      </c>
    </row>
    <row r="91" spans="1:21" x14ac:dyDescent="0.25">
      <c r="A91" s="842"/>
      <c r="B91" s="1198" t="s">
        <v>575</v>
      </c>
      <c r="C91" s="1183"/>
      <c r="D91" s="409" t="s">
        <v>456</v>
      </c>
      <c r="E91" s="409" t="s">
        <v>585</v>
      </c>
      <c r="F91" s="1204" t="s">
        <v>129</v>
      </c>
      <c r="G91" s="1662" t="s">
        <v>120</v>
      </c>
      <c r="H91" s="1682">
        <f>419.73-0.027</f>
        <v>419.70300000000003</v>
      </c>
      <c r="I91" s="529"/>
      <c r="J91" s="269"/>
      <c r="K91" s="1858">
        <v>419.95499999999998</v>
      </c>
      <c r="L91" s="1858"/>
      <c r="M91" s="1858"/>
      <c r="N91" s="1200">
        <v>0</v>
      </c>
      <c r="O91" s="1858"/>
      <c r="P91" s="1858"/>
      <c r="Q91" s="1858"/>
      <c r="R91" s="1858"/>
      <c r="S91" s="1858"/>
      <c r="T91" s="1858"/>
      <c r="U91" s="1682">
        <v>0</v>
      </c>
    </row>
    <row r="92" spans="1:21" s="760" customFormat="1" ht="13" hidden="1" x14ac:dyDescent="0.3">
      <c r="A92" s="842"/>
      <c r="B92" s="1210" t="s">
        <v>419</v>
      </c>
      <c r="C92" s="408"/>
      <c r="D92" s="408" t="s">
        <v>456</v>
      </c>
      <c r="E92" s="408" t="s">
        <v>506</v>
      </c>
      <c r="F92" s="763"/>
      <c r="G92" s="1661"/>
      <c r="H92" s="1683">
        <f>H93</f>
        <v>0</v>
      </c>
      <c r="I92" s="841"/>
      <c r="J92" s="276"/>
      <c r="K92" s="1860"/>
      <c r="L92" s="1860"/>
      <c r="M92" s="1860"/>
      <c r="N92" s="1208">
        <f>N93</f>
        <v>0</v>
      </c>
      <c r="O92" s="1860"/>
      <c r="P92" s="1860"/>
      <c r="Q92" s="1860"/>
      <c r="R92" s="1860"/>
      <c r="S92" s="1860"/>
      <c r="T92" s="1860"/>
      <c r="U92" s="1683">
        <f>U93</f>
        <v>0</v>
      </c>
    </row>
    <row r="93" spans="1:21" ht="21" hidden="1" x14ac:dyDescent="0.25">
      <c r="A93" s="1179"/>
      <c r="B93" s="762" t="s">
        <v>499</v>
      </c>
      <c r="C93" s="409"/>
      <c r="D93" s="409" t="s">
        <v>456</v>
      </c>
      <c r="E93" s="409" t="s">
        <v>506</v>
      </c>
      <c r="F93" s="409" t="s">
        <v>89</v>
      </c>
      <c r="G93" s="1662"/>
      <c r="H93" s="1682">
        <f>H94</f>
        <v>0</v>
      </c>
      <c r="I93" s="529"/>
      <c r="J93" s="269"/>
      <c r="K93" s="1858"/>
      <c r="L93" s="1858"/>
      <c r="M93" s="1858"/>
      <c r="N93" s="1200">
        <f>N94</f>
        <v>0</v>
      </c>
      <c r="O93" s="1858"/>
      <c r="P93" s="1858"/>
      <c r="Q93" s="1858"/>
      <c r="R93" s="1858"/>
      <c r="S93" s="1858"/>
      <c r="T93" s="1858"/>
      <c r="U93" s="1682">
        <f>U94</f>
        <v>0</v>
      </c>
    </row>
    <row r="94" spans="1:21" hidden="1" x14ac:dyDescent="0.25">
      <c r="A94" s="842"/>
      <c r="B94" s="709" t="s">
        <v>109</v>
      </c>
      <c r="C94" s="409"/>
      <c r="D94" s="409" t="s">
        <v>456</v>
      </c>
      <c r="E94" s="409" t="s">
        <v>506</v>
      </c>
      <c r="F94" s="409" t="s">
        <v>581</v>
      </c>
      <c r="G94" s="1662"/>
      <c r="H94" s="1682">
        <f>H95</f>
        <v>0</v>
      </c>
      <c r="I94" s="529"/>
      <c r="J94" s="269"/>
      <c r="K94" s="1858"/>
      <c r="L94" s="1858"/>
      <c r="M94" s="1858"/>
      <c r="N94" s="1200">
        <f>N95</f>
        <v>0</v>
      </c>
      <c r="O94" s="1858"/>
      <c r="P94" s="1858"/>
      <c r="Q94" s="1858"/>
      <c r="R94" s="1858"/>
      <c r="S94" s="1858"/>
      <c r="T94" s="1858"/>
      <c r="U94" s="1682">
        <f>U95</f>
        <v>0</v>
      </c>
    </row>
    <row r="95" spans="1:21" hidden="1" x14ac:dyDescent="0.25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82</v>
      </c>
      <c r="G95" s="1662"/>
      <c r="H95" s="1682">
        <f>H96</f>
        <v>0</v>
      </c>
      <c r="I95" s="529"/>
      <c r="J95" s="269"/>
      <c r="K95" s="1858"/>
      <c r="L95" s="1858"/>
      <c r="M95" s="1858"/>
      <c r="N95" s="1200">
        <f>N96</f>
        <v>0</v>
      </c>
      <c r="O95" s="1858"/>
      <c r="P95" s="1858"/>
      <c r="Q95" s="1858"/>
      <c r="R95" s="1858"/>
      <c r="S95" s="1858"/>
      <c r="T95" s="1858"/>
      <c r="U95" s="1682">
        <f>U96</f>
        <v>0</v>
      </c>
    </row>
    <row r="96" spans="1:21" ht="21" hidden="1" x14ac:dyDescent="0.25">
      <c r="A96" s="842"/>
      <c r="B96" s="1209" t="s">
        <v>788</v>
      </c>
      <c r="C96" s="409"/>
      <c r="D96" s="409" t="s">
        <v>456</v>
      </c>
      <c r="E96" s="409" t="s">
        <v>506</v>
      </c>
      <c r="F96" s="409" t="s">
        <v>1106</v>
      </c>
      <c r="G96" s="1662"/>
      <c r="H96" s="1682">
        <f>H98</f>
        <v>0</v>
      </c>
      <c r="I96" s="529"/>
      <c r="J96" s="269"/>
      <c r="K96" s="1858"/>
      <c r="L96" s="1858"/>
      <c r="M96" s="1858"/>
      <c r="N96" s="1200">
        <f>N98</f>
        <v>0</v>
      </c>
      <c r="O96" s="1858"/>
      <c r="P96" s="1858"/>
      <c r="Q96" s="1858"/>
      <c r="R96" s="1858"/>
      <c r="S96" s="1858"/>
      <c r="T96" s="1858"/>
      <c r="U96" s="1682">
        <f>U98</f>
        <v>0</v>
      </c>
    </row>
    <row r="97" spans="1:21" hidden="1" x14ac:dyDescent="0.25">
      <c r="A97" s="842"/>
      <c r="B97" s="753" t="s">
        <v>948</v>
      </c>
      <c r="C97" s="409"/>
      <c r="D97" s="409" t="s">
        <v>456</v>
      </c>
      <c r="E97" s="409" t="s">
        <v>506</v>
      </c>
      <c r="F97" s="409" t="s">
        <v>1106</v>
      </c>
      <c r="G97" s="1662" t="s">
        <v>955</v>
      </c>
      <c r="H97" s="1682">
        <f t="shared" ref="H97:U97" si="14">H98</f>
        <v>0</v>
      </c>
      <c r="I97" s="529">
        <f t="shared" si="14"/>
        <v>0</v>
      </c>
      <c r="J97" s="269">
        <f t="shared" si="14"/>
        <v>0</v>
      </c>
      <c r="K97" s="1858">
        <f t="shared" si="14"/>
        <v>0</v>
      </c>
      <c r="L97" s="1858">
        <f t="shared" si="14"/>
        <v>0</v>
      </c>
      <c r="M97" s="1858">
        <f t="shared" si="14"/>
        <v>0</v>
      </c>
      <c r="N97" s="1200">
        <f t="shared" si="14"/>
        <v>0</v>
      </c>
      <c r="O97" s="1858">
        <f t="shared" si="14"/>
        <v>0</v>
      </c>
      <c r="P97" s="1858">
        <f t="shared" si="14"/>
        <v>0</v>
      </c>
      <c r="Q97" s="1858">
        <f t="shared" si="14"/>
        <v>0</v>
      </c>
      <c r="R97" s="1858">
        <f t="shared" si="14"/>
        <v>0</v>
      </c>
      <c r="S97" s="1858">
        <f t="shared" si="14"/>
        <v>0</v>
      </c>
      <c r="T97" s="1858">
        <f t="shared" si="14"/>
        <v>0</v>
      </c>
      <c r="U97" s="1682">
        <f t="shared" si="14"/>
        <v>0</v>
      </c>
    </row>
    <row r="98" spans="1:21" ht="21" hidden="1" x14ac:dyDescent="0.25">
      <c r="A98" s="842"/>
      <c r="B98" s="1182" t="s">
        <v>454</v>
      </c>
      <c r="C98" s="409"/>
      <c r="D98" s="409" t="s">
        <v>456</v>
      </c>
      <c r="E98" s="409" t="s">
        <v>506</v>
      </c>
      <c r="F98" s="409" t="s">
        <v>1106</v>
      </c>
      <c r="G98" s="1662" t="s">
        <v>1</v>
      </c>
      <c r="H98" s="1682"/>
      <c r="I98" s="529"/>
      <c r="J98" s="269"/>
      <c r="K98" s="1858"/>
      <c r="L98" s="1858"/>
      <c r="M98" s="1858"/>
      <c r="N98" s="1200">
        <v>0</v>
      </c>
      <c r="O98" s="1858"/>
      <c r="P98" s="1858"/>
      <c r="Q98" s="1858"/>
      <c r="R98" s="1858"/>
      <c r="S98" s="1858"/>
      <c r="T98" s="1858"/>
      <c r="U98" s="1682">
        <v>0</v>
      </c>
    </row>
    <row r="99" spans="1:21" x14ac:dyDescent="0.25">
      <c r="A99" s="842"/>
      <c r="B99" s="1184" t="s">
        <v>68</v>
      </c>
      <c r="C99" s="1177"/>
      <c r="D99" s="408" t="s">
        <v>456</v>
      </c>
      <c r="E99" s="408" t="s">
        <v>464</v>
      </c>
      <c r="F99" s="408"/>
      <c r="G99" s="1661"/>
      <c r="H99" s="1683">
        <f t="shared" ref="H99:J102" si="15">H100</f>
        <v>2900</v>
      </c>
      <c r="I99" s="841">
        <f t="shared" si="15"/>
        <v>0</v>
      </c>
      <c r="J99" s="276">
        <f t="shared" si="15"/>
        <v>0</v>
      </c>
      <c r="K99" s="1858"/>
      <c r="L99" s="1858"/>
      <c r="M99" s="1858"/>
      <c r="N99" s="1208">
        <f t="shared" ref="N99:N102" si="16">N100</f>
        <v>3200</v>
      </c>
      <c r="O99" s="1858"/>
      <c r="P99" s="1858"/>
      <c r="Q99" s="1858"/>
      <c r="R99" s="1858"/>
      <c r="S99" s="1858"/>
      <c r="T99" s="1858"/>
      <c r="U99" s="1683">
        <f t="shared" ref="U99:U102" si="17">U100</f>
        <v>3180</v>
      </c>
    </row>
    <row r="100" spans="1:21" ht="21" x14ac:dyDescent="0.25">
      <c r="A100" s="1179"/>
      <c r="B100" s="753" t="s">
        <v>499</v>
      </c>
      <c r="C100" s="1180"/>
      <c r="D100" s="409" t="s">
        <v>456</v>
      </c>
      <c r="E100" s="409" t="s">
        <v>464</v>
      </c>
      <c r="F100" s="409" t="s">
        <v>89</v>
      </c>
      <c r="G100" s="1662"/>
      <c r="H100" s="1682">
        <f t="shared" si="15"/>
        <v>2900</v>
      </c>
      <c r="I100" s="529">
        <f t="shared" si="15"/>
        <v>0</v>
      </c>
      <c r="J100" s="269">
        <f t="shared" si="15"/>
        <v>0</v>
      </c>
      <c r="K100" s="1858"/>
      <c r="L100" s="1858"/>
      <c r="M100" s="1858"/>
      <c r="N100" s="1200">
        <f t="shared" si="16"/>
        <v>3200</v>
      </c>
      <c r="O100" s="1858"/>
      <c r="P100" s="1858"/>
      <c r="Q100" s="1858"/>
      <c r="R100" s="1858"/>
      <c r="S100" s="1858"/>
      <c r="T100" s="1858"/>
      <c r="U100" s="1682">
        <f t="shared" si="17"/>
        <v>3180</v>
      </c>
    </row>
    <row r="101" spans="1:21" x14ac:dyDescent="0.25">
      <c r="A101" s="842"/>
      <c r="B101" s="1180" t="s">
        <v>109</v>
      </c>
      <c r="C101" s="1180"/>
      <c r="D101" s="409" t="s">
        <v>456</v>
      </c>
      <c r="E101" s="409" t="s">
        <v>464</v>
      </c>
      <c r="F101" s="409" t="s">
        <v>581</v>
      </c>
      <c r="G101" s="1662"/>
      <c r="H101" s="1682">
        <f t="shared" si="15"/>
        <v>2900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 t="shared" si="16"/>
        <v>3200</v>
      </c>
      <c r="O101" s="1858"/>
      <c r="P101" s="1858"/>
      <c r="Q101" s="1858"/>
      <c r="R101" s="1858"/>
      <c r="S101" s="1858"/>
      <c r="T101" s="1858"/>
      <c r="U101" s="1682">
        <f t="shared" si="17"/>
        <v>3180</v>
      </c>
    </row>
    <row r="102" spans="1:21" x14ac:dyDescent="0.25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82</v>
      </c>
      <c r="G102" s="1662"/>
      <c r="H102" s="1682">
        <f t="shared" si="15"/>
        <v>2900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 t="shared" si="16"/>
        <v>3200</v>
      </c>
      <c r="O102" s="1858"/>
      <c r="P102" s="1858"/>
      <c r="Q102" s="1858"/>
      <c r="R102" s="1858"/>
      <c r="S102" s="1858"/>
      <c r="T102" s="1858"/>
      <c r="U102" s="1682">
        <f t="shared" si="17"/>
        <v>3180</v>
      </c>
    </row>
    <row r="103" spans="1:21" ht="21" x14ac:dyDescent="0.25">
      <c r="A103" s="842"/>
      <c r="B103" s="1180" t="s">
        <v>72</v>
      </c>
      <c r="C103" s="1180"/>
      <c r="D103" s="409" t="s">
        <v>456</v>
      </c>
      <c r="E103" s="409" t="s">
        <v>464</v>
      </c>
      <c r="F103" s="409" t="s">
        <v>67</v>
      </c>
      <c r="G103" s="1662"/>
      <c r="H103" s="1682">
        <f>H105</f>
        <v>2900</v>
      </c>
      <c r="I103" s="529">
        <f>I105</f>
        <v>0</v>
      </c>
      <c r="J103" s="269">
        <f>J105</f>
        <v>0</v>
      </c>
      <c r="K103" s="1858"/>
      <c r="L103" s="1858"/>
      <c r="M103" s="1858"/>
      <c r="N103" s="1200">
        <f>N105</f>
        <v>3200</v>
      </c>
      <c r="O103" s="1858"/>
      <c r="P103" s="1858"/>
      <c r="Q103" s="1858"/>
      <c r="R103" s="1858"/>
      <c r="S103" s="1858"/>
      <c r="T103" s="1858"/>
      <c r="U103" s="1682">
        <f>U105</f>
        <v>3180</v>
      </c>
    </row>
    <row r="104" spans="1:21" x14ac:dyDescent="0.25">
      <c r="A104" s="842"/>
      <c r="B104" s="1180" t="s">
        <v>1068</v>
      </c>
      <c r="C104" s="1180"/>
      <c r="D104" s="409" t="s">
        <v>456</v>
      </c>
      <c r="E104" s="409" t="s">
        <v>464</v>
      </c>
      <c r="F104" s="409" t="s">
        <v>67</v>
      </c>
      <c r="G104" s="1662" t="s">
        <v>1064</v>
      </c>
      <c r="H104" s="1682">
        <f t="shared" ref="H104:U104" si="18">H105</f>
        <v>2900</v>
      </c>
      <c r="I104" s="529">
        <f t="shared" si="18"/>
        <v>0</v>
      </c>
      <c r="J104" s="269">
        <f t="shared" si="18"/>
        <v>0</v>
      </c>
      <c r="K104" s="1858">
        <f t="shared" si="18"/>
        <v>0</v>
      </c>
      <c r="L104" s="1858">
        <f t="shared" si="18"/>
        <v>0</v>
      </c>
      <c r="M104" s="1858">
        <f t="shared" si="18"/>
        <v>0</v>
      </c>
      <c r="N104" s="1200">
        <f t="shared" si="18"/>
        <v>3200</v>
      </c>
      <c r="O104" s="1858">
        <f t="shared" si="18"/>
        <v>0</v>
      </c>
      <c r="P104" s="1858">
        <f t="shared" si="18"/>
        <v>0</v>
      </c>
      <c r="Q104" s="1858">
        <f t="shared" si="18"/>
        <v>0</v>
      </c>
      <c r="R104" s="1858">
        <f t="shared" si="18"/>
        <v>0</v>
      </c>
      <c r="S104" s="1858">
        <f t="shared" si="18"/>
        <v>0</v>
      </c>
      <c r="T104" s="1858">
        <f t="shared" si="18"/>
        <v>0</v>
      </c>
      <c r="U104" s="1682">
        <f t="shared" si="18"/>
        <v>3180</v>
      </c>
    </row>
    <row r="105" spans="1:21" ht="13.5" customHeight="1" x14ac:dyDescent="0.25">
      <c r="A105" s="842"/>
      <c r="B105" s="1182" t="s">
        <v>580</v>
      </c>
      <c r="C105" s="1183"/>
      <c r="D105" s="409" t="s">
        <v>456</v>
      </c>
      <c r="E105" s="409" t="s">
        <v>464</v>
      </c>
      <c r="F105" s="409" t="s">
        <v>67</v>
      </c>
      <c r="G105" s="1662" t="s">
        <v>579</v>
      </c>
      <c r="H105" s="1682">
        <v>2900</v>
      </c>
      <c r="I105" s="529"/>
      <c r="J105" s="269"/>
      <c r="K105" s="1858"/>
      <c r="L105" s="1858"/>
      <c r="M105" s="1858"/>
      <c r="N105" s="1200">
        <v>3200</v>
      </c>
      <c r="O105" s="1858"/>
      <c r="P105" s="1858"/>
      <c r="Q105" s="1858"/>
      <c r="R105" s="1858"/>
      <c r="S105" s="1858"/>
      <c r="T105" s="1858"/>
      <c r="U105" s="1682">
        <v>3180</v>
      </c>
    </row>
    <row r="106" spans="1:21" x14ac:dyDescent="0.25">
      <c r="A106" s="842"/>
      <c r="B106" s="1184" t="s">
        <v>93</v>
      </c>
      <c r="C106" s="1177"/>
      <c r="D106" s="408" t="s">
        <v>456</v>
      </c>
      <c r="E106" s="408" t="s">
        <v>573</v>
      </c>
      <c r="F106" s="408"/>
      <c r="G106" s="1661"/>
      <c r="H106" s="1683">
        <f>H107+H116</f>
        <v>5191.7659800000001</v>
      </c>
      <c r="I106" s="841">
        <f>I107+I116</f>
        <v>598.5</v>
      </c>
      <c r="J106" s="276">
        <f>J107+J116</f>
        <v>598.5</v>
      </c>
      <c r="K106" s="1858"/>
      <c r="L106" s="1858"/>
      <c r="M106" s="1858"/>
      <c r="N106" s="1208">
        <f>N112+N114+N115</f>
        <v>600</v>
      </c>
      <c r="O106" s="1858"/>
      <c r="P106" s="1858"/>
      <c r="Q106" s="1858"/>
      <c r="R106" s="1858"/>
      <c r="S106" s="1858"/>
      <c r="T106" s="1858"/>
      <c r="U106" s="1683">
        <f>U112+U114+U115</f>
        <v>700</v>
      </c>
    </row>
    <row r="107" spans="1:21" x14ac:dyDescent="0.25">
      <c r="A107" s="1179"/>
      <c r="B107" s="753" t="s">
        <v>102</v>
      </c>
      <c r="C107" s="1180"/>
      <c r="D107" s="409" t="s">
        <v>456</v>
      </c>
      <c r="E107" s="409" t="s">
        <v>573</v>
      </c>
      <c r="F107" s="409" t="s">
        <v>101</v>
      </c>
      <c r="G107" s="1662"/>
      <c r="H107" s="1682">
        <f t="shared" ref="H107:J109" si="19">H108</f>
        <v>5191.7659800000001</v>
      </c>
      <c r="I107" s="529">
        <f t="shared" si="19"/>
        <v>0</v>
      </c>
      <c r="J107" s="269">
        <f t="shared" si="19"/>
        <v>0</v>
      </c>
      <c r="K107" s="1858"/>
      <c r="L107" s="1858"/>
      <c r="M107" s="1858"/>
      <c r="N107" s="1200">
        <f t="shared" ref="N107:N109" si="20">N108</f>
        <v>560</v>
      </c>
      <c r="O107" s="1858"/>
      <c r="P107" s="1858"/>
      <c r="Q107" s="1858"/>
      <c r="R107" s="1858"/>
      <c r="S107" s="1858"/>
      <c r="T107" s="1858"/>
      <c r="U107" s="1682">
        <f t="shared" ref="U107:U109" si="21">U108</f>
        <v>660</v>
      </c>
    </row>
    <row r="108" spans="1:21" x14ac:dyDescent="0.25">
      <c r="A108" s="1179"/>
      <c r="B108" s="753" t="s">
        <v>109</v>
      </c>
      <c r="C108" s="1180"/>
      <c r="D108" s="409" t="s">
        <v>456</v>
      </c>
      <c r="E108" s="409" t="s">
        <v>573</v>
      </c>
      <c r="F108" s="409" t="s">
        <v>100</v>
      </c>
      <c r="G108" s="1662"/>
      <c r="H108" s="1682">
        <f t="shared" si="19"/>
        <v>5191.7659800000001</v>
      </c>
      <c r="I108" s="529">
        <f t="shared" si="19"/>
        <v>0</v>
      </c>
      <c r="J108" s="269">
        <f t="shared" si="19"/>
        <v>0</v>
      </c>
      <c r="K108" s="1858"/>
      <c r="L108" s="1858"/>
      <c r="M108" s="1858"/>
      <c r="N108" s="1200">
        <f t="shared" si="20"/>
        <v>560</v>
      </c>
      <c r="O108" s="1858"/>
      <c r="P108" s="1858"/>
      <c r="Q108" s="1858"/>
      <c r="R108" s="1858"/>
      <c r="S108" s="1858"/>
      <c r="T108" s="1858"/>
      <c r="U108" s="1682">
        <f t="shared" si="21"/>
        <v>660</v>
      </c>
    </row>
    <row r="109" spans="1:21" x14ac:dyDescent="0.25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99</v>
      </c>
      <c r="G109" s="1662"/>
      <c r="H109" s="1682">
        <f t="shared" si="19"/>
        <v>5191.7659800000001</v>
      </c>
      <c r="I109" s="529">
        <f t="shared" si="19"/>
        <v>0</v>
      </c>
      <c r="J109" s="269">
        <f t="shared" si="19"/>
        <v>0</v>
      </c>
      <c r="K109" s="1858"/>
      <c r="L109" s="1858"/>
      <c r="M109" s="1858"/>
      <c r="N109" s="1200">
        <f t="shared" si="20"/>
        <v>560</v>
      </c>
      <c r="O109" s="1858"/>
      <c r="P109" s="1858"/>
      <c r="Q109" s="1858"/>
      <c r="R109" s="1858"/>
      <c r="S109" s="1858"/>
      <c r="T109" s="1858"/>
      <c r="U109" s="1682">
        <f t="shared" si="21"/>
        <v>660</v>
      </c>
    </row>
    <row r="110" spans="1:21" x14ac:dyDescent="0.25">
      <c r="A110" s="1179"/>
      <c r="B110" s="753" t="s">
        <v>577</v>
      </c>
      <c r="C110" s="1180"/>
      <c r="D110" s="409" t="s">
        <v>456</v>
      </c>
      <c r="E110" s="409" t="s">
        <v>573</v>
      </c>
      <c r="F110" s="409" t="s">
        <v>92</v>
      </c>
      <c r="G110" s="1662"/>
      <c r="H110" s="1682">
        <f>H112+H115+H114</f>
        <v>5191.7659800000001</v>
      </c>
      <c r="I110" s="529">
        <f>I112+I115</f>
        <v>0</v>
      </c>
      <c r="J110" s="269">
        <f>J112+J115</f>
        <v>0</v>
      </c>
      <c r="K110" s="1858">
        <v>500</v>
      </c>
      <c r="L110" s="1858" t="s">
        <v>959</v>
      </c>
      <c r="M110" s="1858"/>
      <c r="N110" s="1200">
        <f>N112+N115</f>
        <v>560</v>
      </c>
      <c r="O110" s="1858"/>
      <c r="P110" s="1858"/>
      <c r="Q110" s="1858"/>
      <c r="R110" s="1858"/>
      <c r="S110" s="1858"/>
      <c r="T110" s="1858"/>
      <c r="U110" s="1682">
        <f>U112+U115</f>
        <v>660</v>
      </c>
    </row>
    <row r="111" spans="1:21" x14ac:dyDescent="0.25">
      <c r="A111" s="1179"/>
      <c r="B111" s="753" t="s">
        <v>948</v>
      </c>
      <c r="C111" s="1180"/>
      <c r="D111" s="409" t="s">
        <v>456</v>
      </c>
      <c r="E111" s="409" t="s">
        <v>573</v>
      </c>
      <c r="F111" s="409" t="s">
        <v>92</v>
      </c>
      <c r="G111" s="1662" t="s">
        <v>955</v>
      </c>
      <c r="H111" s="1682">
        <f t="shared" ref="H111:U111" si="22">H112</f>
        <v>4500.027</v>
      </c>
      <c r="I111" s="529">
        <f t="shared" si="22"/>
        <v>0</v>
      </c>
      <c r="J111" s="269">
        <f t="shared" si="22"/>
        <v>0</v>
      </c>
      <c r="K111" s="1858">
        <f t="shared" si="22"/>
        <v>0</v>
      </c>
      <c r="L111" s="1858">
        <f t="shared" si="22"/>
        <v>0</v>
      </c>
      <c r="M111" s="1858">
        <f t="shared" si="22"/>
        <v>0</v>
      </c>
      <c r="N111" s="1200">
        <f t="shared" si="22"/>
        <v>550</v>
      </c>
      <c r="O111" s="1858">
        <f t="shared" si="22"/>
        <v>0</v>
      </c>
      <c r="P111" s="1858">
        <f t="shared" si="22"/>
        <v>0</v>
      </c>
      <c r="Q111" s="1858">
        <f t="shared" si="22"/>
        <v>0</v>
      </c>
      <c r="R111" s="1858">
        <f t="shared" si="22"/>
        <v>0</v>
      </c>
      <c r="S111" s="1858">
        <f t="shared" si="22"/>
        <v>0</v>
      </c>
      <c r="T111" s="1858">
        <f t="shared" si="22"/>
        <v>0</v>
      </c>
      <c r="U111" s="1682">
        <f t="shared" si="22"/>
        <v>650</v>
      </c>
    </row>
    <row r="112" spans="1:21" ht="21" x14ac:dyDescent="0.25">
      <c r="A112" s="842"/>
      <c r="B112" s="1182" t="s">
        <v>454</v>
      </c>
      <c r="C112" s="1183"/>
      <c r="D112" s="409" t="s">
        <v>456</v>
      </c>
      <c r="E112" s="409" t="s">
        <v>573</v>
      </c>
      <c r="F112" s="409" t="s">
        <v>92</v>
      </c>
      <c r="G112" s="1662" t="s">
        <v>1</v>
      </c>
      <c r="H112" s="1682">
        <f>500+0.027+4000</f>
        <v>4500.027</v>
      </c>
      <c r="I112" s="529"/>
      <c r="J112" s="269"/>
      <c r="K112" s="1858"/>
      <c r="L112" s="1858"/>
      <c r="M112" s="1858"/>
      <c r="N112" s="1200">
        <v>550</v>
      </c>
      <c r="O112" s="1858"/>
      <c r="P112" s="1858"/>
      <c r="Q112" s="1858"/>
      <c r="R112" s="1858"/>
      <c r="S112" s="1858"/>
      <c r="T112" s="1858"/>
      <c r="U112" s="1682">
        <v>650</v>
      </c>
    </row>
    <row r="113" spans="1:25" x14ac:dyDescent="0.25">
      <c r="A113" s="842"/>
      <c r="B113" s="1182" t="s">
        <v>1068</v>
      </c>
      <c r="C113" s="1183"/>
      <c r="D113" s="409" t="s">
        <v>456</v>
      </c>
      <c r="E113" s="409" t="s">
        <v>573</v>
      </c>
      <c r="F113" s="409" t="s">
        <v>92</v>
      </c>
      <c r="G113" s="1662" t="s">
        <v>1064</v>
      </c>
      <c r="H113" s="1682">
        <f>H114+H115</f>
        <v>691.73897999999997</v>
      </c>
      <c r="I113" s="529"/>
      <c r="J113" s="269"/>
      <c r="K113" s="1858"/>
      <c r="L113" s="1858"/>
      <c r="M113" s="1858"/>
      <c r="N113" s="1200">
        <f t="shared" ref="N113:U113" si="23">N114+N115</f>
        <v>50</v>
      </c>
      <c r="O113" s="1858">
        <f t="shared" si="23"/>
        <v>0</v>
      </c>
      <c r="P113" s="1858">
        <f t="shared" si="23"/>
        <v>0</v>
      </c>
      <c r="Q113" s="1858">
        <f t="shared" si="23"/>
        <v>0</v>
      </c>
      <c r="R113" s="1858">
        <f t="shared" si="23"/>
        <v>0</v>
      </c>
      <c r="S113" s="1858">
        <f t="shared" si="23"/>
        <v>0</v>
      </c>
      <c r="T113" s="1858">
        <f t="shared" si="23"/>
        <v>0</v>
      </c>
      <c r="U113" s="1682">
        <f t="shared" si="23"/>
        <v>50</v>
      </c>
    </row>
    <row r="114" spans="1:25" x14ac:dyDescent="0.25">
      <c r="A114" s="842"/>
      <c r="B114" s="1182" t="s">
        <v>1003</v>
      </c>
      <c r="C114" s="1183"/>
      <c r="D114" s="409" t="s">
        <v>456</v>
      </c>
      <c r="E114" s="409" t="s">
        <v>573</v>
      </c>
      <c r="F114" s="409" t="s">
        <v>92</v>
      </c>
      <c r="G114" s="1662" t="s">
        <v>95</v>
      </c>
      <c r="H114" s="1682">
        <f>100+581.73898</f>
        <v>681.73897999999997</v>
      </c>
      <c r="I114" s="529"/>
      <c r="J114" s="269"/>
      <c r="K114" s="1858"/>
      <c r="L114" s="1858"/>
      <c r="M114" s="1858"/>
      <c r="N114" s="1200">
        <v>40</v>
      </c>
      <c r="O114" s="1858"/>
      <c r="P114" s="1858"/>
      <c r="Q114" s="1858"/>
      <c r="R114" s="1858"/>
      <c r="S114" s="1858"/>
      <c r="T114" s="1858"/>
      <c r="U114" s="1682">
        <v>40</v>
      </c>
    </row>
    <row r="115" spans="1:25" x14ac:dyDescent="0.25">
      <c r="A115" s="842"/>
      <c r="B115" s="1182" t="s">
        <v>457</v>
      </c>
      <c r="C115" s="1183"/>
      <c r="D115" s="409" t="s">
        <v>456</v>
      </c>
      <c r="E115" s="409" t="s">
        <v>573</v>
      </c>
      <c r="F115" s="409" t="s">
        <v>92</v>
      </c>
      <c r="G115" s="1662" t="s">
        <v>91</v>
      </c>
      <c r="H115" s="1682">
        <v>10</v>
      </c>
      <c r="I115" s="529"/>
      <c r="J115" s="269"/>
      <c r="K115" s="1858"/>
      <c r="L115" s="1858"/>
      <c r="M115" s="1858"/>
      <c r="N115" s="1200">
        <v>10</v>
      </c>
      <c r="O115" s="1858"/>
      <c r="P115" s="1858"/>
      <c r="Q115" s="1858"/>
      <c r="R115" s="1858"/>
      <c r="S115" s="1858"/>
      <c r="T115" s="1858"/>
      <c r="U115" s="1682">
        <v>10</v>
      </c>
    </row>
    <row r="116" spans="1:25" ht="21" hidden="1" x14ac:dyDescent="0.25">
      <c r="A116" s="1211"/>
      <c r="B116" s="753" t="s">
        <v>499</v>
      </c>
      <c r="C116" s="1177"/>
      <c r="D116" s="408" t="s">
        <v>456</v>
      </c>
      <c r="E116" s="408" t="s">
        <v>573</v>
      </c>
      <c r="F116" s="409" t="s">
        <v>89</v>
      </c>
      <c r="G116" s="1661"/>
      <c r="H116" s="1683">
        <f t="shared" ref="H116:J117" si="24">H117</f>
        <v>0</v>
      </c>
      <c r="I116" s="841">
        <f t="shared" si="24"/>
        <v>598.5</v>
      </c>
      <c r="J116" s="276">
        <f t="shared" si="24"/>
        <v>598.5</v>
      </c>
      <c r="K116" s="1858"/>
      <c r="L116" s="1858"/>
      <c r="M116" s="1858"/>
      <c r="N116" s="1208">
        <f t="shared" ref="N116:N117" si="25">N117</f>
        <v>0</v>
      </c>
      <c r="O116" s="1858"/>
      <c r="P116" s="1858"/>
      <c r="Q116" s="1858"/>
      <c r="R116" s="1858"/>
      <c r="S116" s="1858"/>
      <c r="T116" s="1858"/>
      <c r="U116" s="1683">
        <f t="shared" ref="U116:U117" si="26">U117</f>
        <v>0</v>
      </c>
    </row>
    <row r="117" spans="1:25" hidden="1" x14ac:dyDescent="0.25">
      <c r="A117" s="1179"/>
      <c r="B117" s="753" t="s">
        <v>109</v>
      </c>
      <c r="C117" s="1180"/>
      <c r="D117" s="409" t="s">
        <v>456</v>
      </c>
      <c r="E117" s="409" t="s">
        <v>573</v>
      </c>
      <c r="F117" s="409" t="s">
        <v>84</v>
      </c>
      <c r="G117" s="1662"/>
      <c r="H117" s="1682">
        <f t="shared" si="24"/>
        <v>0</v>
      </c>
      <c r="I117" s="529">
        <f t="shared" si="24"/>
        <v>598.5</v>
      </c>
      <c r="J117" s="269">
        <f t="shared" si="24"/>
        <v>598.5</v>
      </c>
      <c r="K117" s="1858"/>
      <c r="L117" s="1858"/>
      <c r="M117" s="1858"/>
      <c r="N117" s="1200">
        <f t="shared" si="25"/>
        <v>0</v>
      </c>
      <c r="O117" s="1858"/>
      <c r="P117" s="1858"/>
      <c r="Q117" s="1858"/>
      <c r="R117" s="1858"/>
      <c r="S117" s="1858"/>
      <c r="T117" s="1858"/>
      <c r="U117" s="1682">
        <f t="shared" si="26"/>
        <v>0</v>
      </c>
    </row>
    <row r="118" spans="1:25" hidden="1" x14ac:dyDescent="0.25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82</v>
      </c>
      <c r="G118" s="1662"/>
      <c r="H118" s="1682">
        <f>H119</f>
        <v>0</v>
      </c>
      <c r="I118" s="529">
        <f>I123</f>
        <v>598.5</v>
      </c>
      <c r="J118" s="269">
        <f>J123</f>
        <v>598.5</v>
      </c>
      <c r="K118" s="1858"/>
      <c r="L118" s="1858"/>
      <c r="M118" s="1858"/>
      <c r="N118" s="1200">
        <f>N123</f>
        <v>0</v>
      </c>
      <c r="O118" s="1858"/>
      <c r="P118" s="1858"/>
      <c r="Q118" s="1858"/>
      <c r="R118" s="1858"/>
      <c r="S118" s="1858"/>
      <c r="T118" s="1858"/>
      <c r="U118" s="1682">
        <f>U123</f>
        <v>0</v>
      </c>
    </row>
    <row r="119" spans="1:25" ht="33" hidden="1" customHeight="1" x14ac:dyDescent="0.25">
      <c r="A119" s="1179"/>
      <c r="B119" s="753" t="s">
        <v>1004</v>
      </c>
      <c r="C119" s="1180"/>
      <c r="D119" s="409" t="s">
        <v>456</v>
      </c>
      <c r="E119" s="409" t="s">
        <v>573</v>
      </c>
      <c r="F119" s="409" t="s">
        <v>1005</v>
      </c>
      <c r="G119" s="1662"/>
      <c r="H119" s="1682">
        <f>H120</f>
        <v>0</v>
      </c>
      <c r="I119" s="529">
        <f>I120</f>
        <v>0</v>
      </c>
      <c r="J119" s="269">
        <f>J120</f>
        <v>0</v>
      </c>
      <c r="K119" s="1858"/>
      <c r="L119" s="1858"/>
      <c r="M119" s="1858"/>
      <c r="N119" s="1200">
        <f>N120</f>
        <v>0</v>
      </c>
      <c r="O119" s="1858"/>
      <c r="P119" s="1858"/>
      <c r="Q119" s="1858"/>
      <c r="R119" s="1858"/>
      <c r="S119" s="1858"/>
      <c r="T119" s="1858"/>
      <c r="U119" s="1682">
        <f>U120</f>
        <v>0</v>
      </c>
    </row>
    <row r="120" spans="1:25" hidden="1" x14ac:dyDescent="0.25">
      <c r="A120" s="842"/>
      <c r="B120" s="1182" t="s">
        <v>571</v>
      </c>
      <c r="C120" s="1183"/>
      <c r="D120" s="409" t="s">
        <v>456</v>
      </c>
      <c r="E120" s="409" t="s">
        <v>573</v>
      </c>
      <c r="F120" s="409" t="s">
        <v>1005</v>
      </c>
      <c r="G120" s="1662" t="s">
        <v>5</v>
      </c>
      <c r="H120" s="1682"/>
      <c r="I120" s="529"/>
      <c r="J120" s="269"/>
      <c r="K120" s="1858"/>
      <c r="L120" s="1858"/>
      <c r="M120" s="1858"/>
      <c r="N120" s="1200"/>
      <c r="O120" s="1858"/>
      <c r="P120" s="1858"/>
      <c r="Q120" s="1858"/>
      <c r="R120" s="1858"/>
      <c r="S120" s="1858"/>
      <c r="T120" s="1858"/>
      <c r="U120" s="1682"/>
    </row>
    <row r="121" spans="1:25" ht="21" hidden="1" x14ac:dyDescent="0.25">
      <c r="A121" s="842"/>
      <c r="B121" s="1199" t="s">
        <v>151</v>
      </c>
      <c r="C121" s="1188"/>
      <c r="D121" s="409" t="s">
        <v>456</v>
      </c>
      <c r="E121" s="409" t="s">
        <v>452</v>
      </c>
      <c r="F121" s="409" t="s">
        <v>150</v>
      </c>
      <c r="G121" s="1662"/>
      <c r="H121" s="1682">
        <f>H122</f>
        <v>0</v>
      </c>
      <c r="I121" s="529">
        <f>I122</f>
        <v>0</v>
      </c>
      <c r="J121" s="269">
        <f>J122</f>
        <v>0</v>
      </c>
      <c r="K121" s="1858"/>
      <c r="L121" s="1858"/>
      <c r="M121" s="1858"/>
      <c r="N121" s="1200">
        <f>N122</f>
        <v>0</v>
      </c>
      <c r="O121" s="1858"/>
      <c r="P121" s="1858"/>
      <c r="Q121" s="1858"/>
      <c r="R121" s="1858"/>
      <c r="S121" s="1858"/>
      <c r="T121" s="1858"/>
      <c r="U121" s="1682">
        <f>U122</f>
        <v>0</v>
      </c>
    </row>
    <row r="122" spans="1:25" hidden="1" x14ac:dyDescent="0.25">
      <c r="A122" s="842"/>
      <c r="B122" s="1182" t="s">
        <v>575</v>
      </c>
      <c r="C122" s="1183"/>
      <c r="D122" s="409" t="s">
        <v>456</v>
      </c>
      <c r="E122" s="409" t="s">
        <v>452</v>
      </c>
      <c r="F122" s="409" t="s">
        <v>150</v>
      </c>
      <c r="G122" s="1662" t="s">
        <v>120</v>
      </c>
      <c r="H122" s="1682"/>
      <c r="I122" s="529"/>
      <c r="J122" s="269"/>
      <c r="K122" s="1858"/>
      <c r="L122" s="1858"/>
      <c r="M122" s="1858"/>
      <c r="N122" s="1200"/>
      <c r="O122" s="1858"/>
      <c r="P122" s="1858"/>
      <c r="Q122" s="1858"/>
      <c r="R122" s="1858"/>
      <c r="S122" s="1858"/>
      <c r="T122" s="1858"/>
      <c r="U122" s="1682"/>
    </row>
    <row r="123" spans="1:25" ht="52" hidden="1" x14ac:dyDescent="0.25">
      <c r="A123" s="842"/>
      <c r="B123" s="398" t="s">
        <v>574</v>
      </c>
      <c r="C123" s="1188"/>
      <c r="D123" s="409" t="s">
        <v>456</v>
      </c>
      <c r="E123" s="409" t="s">
        <v>573</v>
      </c>
      <c r="F123" s="409" t="s">
        <v>127</v>
      </c>
      <c r="G123" s="1662"/>
      <c r="H123" s="1682">
        <f>H124+H125</f>
        <v>0</v>
      </c>
      <c r="I123" s="529">
        <f>I124+I125</f>
        <v>598.5</v>
      </c>
      <c r="J123" s="269">
        <f>J124+J125</f>
        <v>598.5</v>
      </c>
      <c r="K123" s="1858"/>
      <c r="L123" s="1858"/>
      <c r="M123" s="1858"/>
      <c r="N123" s="1200">
        <f>N124+N125</f>
        <v>0</v>
      </c>
      <c r="O123" s="1858"/>
      <c r="P123" s="1858"/>
      <c r="Q123" s="1858"/>
      <c r="R123" s="1858"/>
      <c r="S123" s="1858"/>
      <c r="T123" s="1858"/>
      <c r="U123" s="1682">
        <f>U124+U125</f>
        <v>0</v>
      </c>
    </row>
    <row r="124" spans="1:25" hidden="1" x14ac:dyDescent="0.25">
      <c r="A124" s="842"/>
      <c r="B124" s="1182" t="s">
        <v>571</v>
      </c>
      <c r="C124" s="1183"/>
      <c r="D124" s="409" t="s">
        <v>456</v>
      </c>
      <c r="E124" s="409" t="s">
        <v>573</v>
      </c>
      <c r="F124" s="409" t="s">
        <v>127</v>
      </c>
      <c r="G124" s="1662" t="s">
        <v>5</v>
      </c>
      <c r="H124" s="1682"/>
      <c r="I124" s="529">
        <v>561.29999999999995</v>
      </c>
      <c r="J124" s="269">
        <v>561.29999999999995</v>
      </c>
      <c r="K124" s="1858"/>
      <c r="L124" s="1858"/>
      <c r="M124" s="1858"/>
      <c r="N124" s="1200"/>
      <c r="O124" s="1858"/>
      <c r="P124" s="1858"/>
      <c r="Q124" s="1858"/>
      <c r="R124" s="1858"/>
      <c r="S124" s="1858"/>
      <c r="T124" s="1858"/>
      <c r="U124" s="1682"/>
    </row>
    <row r="125" spans="1:25" ht="21" hidden="1" x14ac:dyDescent="0.25">
      <c r="A125" s="842"/>
      <c r="B125" s="1182" t="s">
        <v>454</v>
      </c>
      <c r="C125" s="1183"/>
      <c r="D125" s="409" t="s">
        <v>456</v>
      </c>
      <c r="E125" s="409" t="s">
        <v>573</v>
      </c>
      <c r="F125" s="409" t="s">
        <v>127</v>
      </c>
      <c r="G125" s="1662" t="s">
        <v>1</v>
      </c>
      <c r="H125" s="1682"/>
      <c r="I125" s="529">
        <v>37.200000000000003</v>
      </c>
      <c r="J125" s="269">
        <v>37.200000000000003</v>
      </c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5" x14ac:dyDescent="0.25">
      <c r="A126" s="842"/>
      <c r="B126" s="1252" t="s">
        <v>412</v>
      </c>
      <c r="C126" s="1183"/>
      <c r="D126" s="408" t="s">
        <v>488</v>
      </c>
      <c r="E126" s="408" t="s">
        <v>459</v>
      </c>
      <c r="F126" s="409"/>
      <c r="G126" s="1662"/>
      <c r="H126" s="1683">
        <f>H127</f>
        <v>801.5</v>
      </c>
      <c r="I126" s="841">
        <f t="shared" ref="I126:J130" si="27">I127</f>
        <v>0</v>
      </c>
      <c r="J126" s="276">
        <f t="shared" si="27"/>
        <v>0</v>
      </c>
      <c r="K126" s="1858"/>
      <c r="L126" s="1858"/>
      <c r="M126" s="1858"/>
      <c r="N126" s="1208">
        <f>N127</f>
        <v>814.8</v>
      </c>
      <c r="O126" s="1858"/>
      <c r="P126" s="1858"/>
      <c r="Q126" s="1858"/>
      <c r="R126" s="1858"/>
      <c r="S126" s="1858"/>
      <c r="T126" s="1858"/>
      <c r="U126" s="1683">
        <f>U127</f>
        <v>857.3</v>
      </c>
      <c r="V126" s="1861">
        <v>834.7</v>
      </c>
      <c r="W126" s="1861">
        <v>844.2</v>
      </c>
      <c r="X126" s="1861">
        <v>874.4</v>
      </c>
      <c r="Y126" s="2342" t="s">
        <v>444</v>
      </c>
    </row>
    <row r="127" spans="1:25" x14ac:dyDescent="0.25">
      <c r="A127" s="842"/>
      <c r="B127" s="1252" t="s">
        <v>6</v>
      </c>
      <c r="C127" s="1183"/>
      <c r="D127" s="408" t="s">
        <v>488</v>
      </c>
      <c r="E127" s="408" t="s">
        <v>495</v>
      </c>
      <c r="F127" s="409"/>
      <c r="G127" s="1662"/>
      <c r="H127" s="1683">
        <f>H128</f>
        <v>801.5</v>
      </c>
      <c r="I127" s="841">
        <f t="shared" si="27"/>
        <v>0</v>
      </c>
      <c r="J127" s="276">
        <f t="shared" si="27"/>
        <v>0</v>
      </c>
      <c r="K127" s="1862">
        <v>727.8</v>
      </c>
      <c r="L127" s="1858"/>
      <c r="M127" s="1858"/>
      <c r="N127" s="1208">
        <f>N128</f>
        <v>814.8</v>
      </c>
      <c r="O127" s="1858"/>
      <c r="P127" s="1858"/>
      <c r="Q127" s="1858"/>
      <c r="R127" s="1858"/>
      <c r="S127" s="1858"/>
      <c r="T127" s="1858"/>
      <c r="U127" s="1683">
        <f>U128</f>
        <v>857.3</v>
      </c>
    </row>
    <row r="128" spans="1:25" ht="21" x14ac:dyDescent="0.25">
      <c r="A128" s="842"/>
      <c r="B128" s="753" t="s">
        <v>499</v>
      </c>
      <c r="C128" s="1183"/>
      <c r="D128" s="408" t="s">
        <v>488</v>
      </c>
      <c r="E128" s="408" t="s">
        <v>495</v>
      </c>
      <c r="F128" s="409" t="s">
        <v>89</v>
      </c>
      <c r="G128" s="1662"/>
      <c r="H128" s="1683">
        <f>H129</f>
        <v>801.5</v>
      </c>
      <c r="I128" s="841">
        <f t="shared" si="27"/>
        <v>0</v>
      </c>
      <c r="J128" s="276">
        <f t="shared" si="27"/>
        <v>0</v>
      </c>
      <c r="K128" s="1858"/>
      <c r="L128" s="1858"/>
      <c r="M128" s="1858"/>
      <c r="N128" s="1208">
        <f>N129</f>
        <v>814.8</v>
      </c>
      <c r="O128" s="1858"/>
      <c r="P128" s="1858"/>
      <c r="Q128" s="1858"/>
      <c r="R128" s="1858"/>
      <c r="S128" s="1858"/>
      <c r="T128" s="1858"/>
      <c r="U128" s="1683">
        <f>U129</f>
        <v>857.3</v>
      </c>
    </row>
    <row r="129" spans="1:28" x14ac:dyDescent="0.25">
      <c r="A129" s="842"/>
      <c r="B129" s="753" t="s">
        <v>109</v>
      </c>
      <c r="C129" s="1183"/>
      <c r="D129" s="409" t="s">
        <v>488</v>
      </c>
      <c r="E129" s="409" t="s">
        <v>495</v>
      </c>
      <c r="F129" s="409" t="s">
        <v>84</v>
      </c>
      <c r="G129" s="1662"/>
      <c r="H129" s="1682">
        <f>H130</f>
        <v>801.5</v>
      </c>
      <c r="I129" s="529">
        <f t="shared" si="27"/>
        <v>0</v>
      </c>
      <c r="J129" s="269">
        <f t="shared" si="27"/>
        <v>0</v>
      </c>
      <c r="K129" s="1858"/>
      <c r="L129" s="1858"/>
      <c r="M129" s="1858"/>
      <c r="N129" s="1200">
        <f>N130</f>
        <v>814.8</v>
      </c>
      <c r="O129" s="1858"/>
      <c r="P129" s="1858"/>
      <c r="Q129" s="1858"/>
      <c r="R129" s="1858"/>
      <c r="S129" s="1858"/>
      <c r="T129" s="1858"/>
      <c r="U129" s="1682">
        <f>U130</f>
        <v>857.3</v>
      </c>
    </row>
    <row r="130" spans="1:28" x14ac:dyDescent="0.25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82</v>
      </c>
      <c r="G130" s="1662"/>
      <c r="H130" s="1682">
        <f>H131</f>
        <v>801.5</v>
      </c>
      <c r="I130" s="529">
        <f t="shared" si="27"/>
        <v>0</v>
      </c>
      <c r="J130" s="269">
        <f t="shared" si="27"/>
        <v>0</v>
      </c>
      <c r="K130" s="1858"/>
      <c r="L130" s="1858"/>
      <c r="M130" s="1858"/>
      <c r="N130" s="1200">
        <f>N131</f>
        <v>814.8</v>
      </c>
      <c r="O130" s="1858"/>
      <c r="P130" s="1858"/>
      <c r="Q130" s="1858"/>
      <c r="R130" s="1858"/>
      <c r="S130" s="1858"/>
      <c r="T130" s="1858"/>
      <c r="U130" s="1682">
        <f>U131</f>
        <v>857.3</v>
      </c>
    </row>
    <row r="131" spans="1:28" ht="21" x14ac:dyDescent="0.25">
      <c r="A131" s="842"/>
      <c r="B131" s="1213" t="s">
        <v>8</v>
      </c>
      <c r="C131" s="1183"/>
      <c r="D131" s="409" t="s">
        <v>488</v>
      </c>
      <c r="E131" s="409" t="s">
        <v>495</v>
      </c>
      <c r="F131" s="409" t="s">
        <v>2</v>
      </c>
      <c r="G131" s="1662"/>
      <c r="H131" s="1682">
        <f>H133+H135</f>
        <v>801.5</v>
      </c>
      <c r="I131" s="529">
        <f>I133+I135</f>
        <v>0</v>
      </c>
      <c r="J131" s="269">
        <f>J133+J135</f>
        <v>0</v>
      </c>
      <c r="K131" s="1858"/>
      <c r="L131" s="1858"/>
      <c r="M131" s="1858"/>
      <c r="N131" s="1200">
        <f>N133+N135</f>
        <v>814.8</v>
      </c>
      <c r="O131" s="1858"/>
      <c r="P131" s="1858"/>
      <c r="Q131" s="1858"/>
      <c r="R131" s="1858"/>
      <c r="S131" s="1858"/>
      <c r="T131" s="1858"/>
      <c r="U131" s="1682">
        <f>U133+U135</f>
        <v>857.3</v>
      </c>
    </row>
    <row r="132" spans="1:28" ht="39" x14ac:dyDescent="0.25">
      <c r="A132" s="842"/>
      <c r="B132" s="49" t="s">
        <v>1063</v>
      </c>
      <c r="C132" s="1183"/>
      <c r="D132" s="409" t="s">
        <v>488</v>
      </c>
      <c r="E132" s="409" t="s">
        <v>495</v>
      </c>
      <c r="F132" s="409" t="s">
        <v>2</v>
      </c>
      <c r="G132" s="1662" t="s">
        <v>1062</v>
      </c>
      <c r="H132" s="1682">
        <f t="shared" ref="H132:U132" si="28">H133</f>
        <v>796.70899999999995</v>
      </c>
      <c r="I132" s="529">
        <f t="shared" si="28"/>
        <v>0</v>
      </c>
      <c r="J132" s="269">
        <f t="shared" si="28"/>
        <v>0</v>
      </c>
      <c r="K132" s="1858">
        <f t="shared" si="28"/>
        <v>0</v>
      </c>
      <c r="L132" s="1858">
        <f t="shared" si="28"/>
        <v>0</v>
      </c>
      <c r="M132" s="1858">
        <f t="shared" si="28"/>
        <v>0</v>
      </c>
      <c r="N132" s="1200">
        <f t="shared" si="28"/>
        <v>813.38599999999997</v>
      </c>
      <c r="O132" s="1858">
        <f t="shared" si="28"/>
        <v>0</v>
      </c>
      <c r="P132" s="1858">
        <f t="shared" si="28"/>
        <v>0</v>
      </c>
      <c r="Q132" s="1858">
        <f t="shared" si="28"/>
        <v>0</v>
      </c>
      <c r="R132" s="1858">
        <f t="shared" si="28"/>
        <v>0</v>
      </c>
      <c r="S132" s="1858">
        <f t="shared" si="28"/>
        <v>0</v>
      </c>
      <c r="T132" s="1858">
        <f t="shared" si="28"/>
        <v>0</v>
      </c>
      <c r="U132" s="1682">
        <f t="shared" si="28"/>
        <v>857.3</v>
      </c>
    </row>
    <row r="133" spans="1:28" x14ac:dyDescent="0.25">
      <c r="A133" s="842"/>
      <c r="B133" s="1182" t="s">
        <v>571</v>
      </c>
      <c r="C133" s="1183"/>
      <c r="D133" s="409" t="s">
        <v>488</v>
      </c>
      <c r="E133" s="409" t="s">
        <v>495</v>
      </c>
      <c r="F133" s="409" t="s">
        <v>2</v>
      </c>
      <c r="G133" s="1662" t="s">
        <v>5</v>
      </c>
      <c r="H133" s="1682">
        <f>839.409-42.7</f>
        <v>796.70899999999995</v>
      </c>
      <c r="I133" s="529"/>
      <c r="J133" s="269"/>
      <c r="K133" s="1858"/>
      <c r="L133" s="1858"/>
      <c r="M133" s="1858"/>
      <c r="N133" s="1200">
        <f>872.986-59.6</f>
        <v>813.38599999999997</v>
      </c>
      <c r="O133" s="1858"/>
      <c r="P133" s="1858"/>
      <c r="Q133" s="1858"/>
      <c r="R133" s="1858"/>
      <c r="S133" s="1858"/>
      <c r="T133" s="1858"/>
      <c r="U133" s="1682">
        <v>857.3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x14ac:dyDescent="0.25">
      <c r="A134" s="842"/>
      <c r="B134" s="753" t="s">
        <v>948</v>
      </c>
      <c r="C134" s="1183"/>
      <c r="D134" s="409" t="s">
        <v>488</v>
      </c>
      <c r="E134" s="409" t="s">
        <v>495</v>
      </c>
      <c r="F134" s="409" t="s">
        <v>2</v>
      </c>
      <c r="G134" s="1662" t="s">
        <v>955</v>
      </c>
      <c r="H134" s="1682">
        <f t="shared" ref="H134:U134" si="29">H135</f>
        <v>4.7910000000000004</v>
      </c>
      <c r="I134" s="529">
        <f t="shared" si="29"/>
        <v>0</v>
      </c>
      <c r="J134" s="269">
        <f t="shared" si="29"/>
        <v>0</v>
      </c>
      <c r="K134" s="1858">
        <f t="shared" si="29"/>
        <v>0</v>
      </c>
      <c r="L134" s="1858">
        <f t="shared" si="29"/>
        <v>0</v>
      </c>
      <c r="M134" s="1858">
        <f t="shared" si="29"/>
        <v>0</v>
      </c>
      <c r="N134" s="1200">
        <f t="shared" si="29"/>
        <v>1.4139999999999999</v>
      </c>
      <c r="O134" s="1858">
        <f t="shared" si="29"/>
        <v>0</v>
      </c>
      <c r="P134" s="1858">
        <f t="shared" si="29"/>
        <v>0</v>
      </c>
      <c r="Q134" s="1858">
        <f t="shared" si="29"/>
        <v>0</v>
      </c>
      <c r="R134" s="1858">
        <f t="shared" si="29"/>
        <v>0</v>
      </c>
      <c r="S134" s="1858">
        <f t="shared" si="29"/>
        <v>0</v>
      </c>
      <c r="T134" s="1858">
        <f t="shared" si="29"/>
        <v>0</v>
      </c>
      <c r="U134" s="1682">
        <f t="shared" si="29"/>
        <v>0</v>
      </c>
      <c r="V134" s="2"/>
      <c r="W134" s="2"/>
      <c r="X134" s="2"/>
    </row>
    <row r="135" spans="1:28" ht="21" x14ac:dyDescent="0.25">
      <c r="A135" s="842"/>
      <c r="B135" s="1182" t="s">
        <v>454</v>
      </c>
      <c r="C135" s="1183"/>
      <c r="D135" s="409" t="s">
        <v>488</v>
      </c>
      <c r="E135" s="409" t="s">
        <v>495</v>
      </c>
      <c r="F135" s="409" t="s">
        <v>2</v>
      </c>
      <c r="G135" s="1662" t="s">
        <v>1</v>
      </c>
      <c r="H135" s="1682">
        <v>4.7910000000000004</v>
      </c>
      <c r="I135" s="529"/>
      <c r="J135" s="269"/>
      <c r="K135" s="1858"/>
      <c r="L135" s="1858"/>
      <c r="M135" s="1858"/>
      <c r="N135" s="1200">
        <v>1.4139999999999999</v>
      </c>
      <c r="O135" s="1858"/>
      <c r="P135" s="1858"/>
      <c r="Q135" s="1858"/>
      <c r="R135" s="1858"/>
      <c r="S135" s="1858"/>
      <c r="T135" s="1858"/>
      <c r="U135" s="1682">
        <v>0</v>
      </c>
      <c r="V135" s="2"/>
      <c r="W135" s="2"/>
      <c r="X135" s="2">
        <v>27.576000000000001</v>
      </c>
    </row>
    <row r="136" spans="1:28" x14ac:dyDescent="0.25">
      <c r="A136" s="1179"/>
      <c r="B136" s="1214" t="s">
        <v>407</v>
      </c>
      <c r="C136" s="1177"/>
      <c r="D136" s="408" t="s">
        <v>495</v>
      </c>
      <c r="E136" s="408" t="s">
        <v>459</v>
      </c>
      <c r="F136" s="408"/>
      <c r="G136" s="1661"/>
      <c r="H136" s="1683">
        <f>H138+H163</f>
        <v>433.04</v>
      </c>
      <c r="I136" s="841">
        <f>I137</f>
        <v>0</v>
      </c>
      <c r="J136" s="276">
        <f>J137</f>
        <v>0</v>
      </c>
      <c r="K136" s="1858"/>
      <c r="L136" s="1858"/>
      <c r="M136" s="1858"/>
      <c r="N136" s="1683">
        <f>N138+N163</f>
        <v>509.04</v>
      </c>
      <c r="O136" s="1858"/>
      <c r="P136" s="1858"/>
      <c r="Q136" s="1858"/>
      <c r="R136" s="1858"/>
      <c r="S136" s="1858"/>
      <c r="T136" s="1858"/>
      <c r="U136" s="1683">
        <f>U138+U163</f>
        <v>585.65</v>
      </c>
    </row>
    <row r="137" spans="1:28" ht="23" x14ac:dyDescent="0.25">
      <c r="A137" s="842"/>
      <c r="B137" s="1184" t="s">
        <v>570</v>
      </c>
      <c r="C137" s="1177"/>
      <c r="D137" s="408" t="s">
        <v>495</v>
      </c>
      <c r="E137" s="408" t="s">
        <v>539</v>
      </c>
      <c r="F137" s="408"/>
      <c r="G137" s="1661"/>
      <c r="H137" s="1683">
        <f>H138+H158</f>
        <v>426</v>
      </c>
      <c r="I137" s="841">
        <f>I138+I166</f>
        <v>0</v>
      </c>
      <c r="J137" s="276">
        <f>J138+J166</f>
        <v>0</v>
      </c>
      <c r="K137" s="1858"/>
      <c r="L137" s="1858"/>
      <c r="M137" s="1858"/>
      <c r="N137" s="1683">
        <f>N138</f>
        <v>502</v>
      </c>
      <c r="O137" s="1858"/>
      <c r="P137" s="1858"/>
      <c r="Q137" s="1858"/>
      <c r="R137" s="1858"/>
      <c r="S137" s="1858"/>
      <c r="T137" s="1858"/>
      <c r="U137" s="1683">
        <f>U138</f>
        <v>578.61</v>
      </c>
    </row>
    <row r="138" spans="1:28" ht="21" x14ac:dyDescent="0.25">
      <c r="A138" s="1179"/>
      <c r="B138" s="1205" t="s">
        <v>912</v>
      </c>
      <c r="C138" s="1215"/>
      <c r="D138" s="409" t="s">
        <v>495</v>
      </c>
      <c r="E138" s="409" t="s">
        <v>539</v>
      </c>
      <c r="F138" s="409" t="s">
        <v>240</v>
      </c>
      <c r="G138" s="1662"/>
      <c r="H138" s="1682">
        <f>H143+H151+H157</f>
        <v>426</v>
      </c>
      <c r="I138" s="529">
        <f>I139+I153</f>
        <v>0</v>
      </c>
      <c r="J138" s="269">
        <f>J139+J153</f>
        <v>0</v>
      </c>
      <c r="K138" s="1862">
        <f>K143+K151+K157</f>
        <v>0</v>
      </c>
      <c r="L138" s="1858"/>
      <c r="M138" s="1858"/>
      <c r="N138" s="1200">
        <f>N143+N151+N157</f>
        <v>502</v>
      </c>
      <c r="O138" s="1858"/>
      <c r="P138" s="1858"/>
      <c r="Q138" s="1858"/>
      <c r="R138" s="1858"/>
      <c r="S138" s="1858"/>
      <c r="T138" s="1858"/>
      <c r="U138" s="1682">
        <f>U143+U151+U157</f>
        <v>578.61</v>
      </c>
    </row>
    <row r="139" spans="1:28" ht="43" customHeight="1" x14ac:dyDescent="0.25">
      <c r="A139" s="1179"/>
      <c r="B139" s="1216" t="s">
        <v>926</v>
      </c>
      <c r="C139" s="1215"/>
      <c r="D139" s="1217" t="s">
        <v>495</v>
      </c>
      <c r="E139" s="1217" t="s">
        <v>539</v>
      </c>
      <c r="F139" s="1217" t="s">
        <v>238</v>
      </c>
      <c r="G139" s="1664"/>
      <c r="H139" s="1682">
        <f>H140+H148</f>
        <v>230</v>
      </c>
      <c r="I139" s="529">
        <f>I140+I148</f>
        <v>0</v>
      </c>
      <c r="J139" s="269">
        <f>J140+J148</f>
        <v>0</v>
      </c>
      <c r="K139" s="1858"/>
      <c r="L139" s="1858"/>
      <c r="M139" s="1858"/>
      <c r="N139" s="1200">
        <f>N140+N148</f>
        <v>290</v>
      </c>
      <c r="O139" s="1858"/>
      <c r="P139" s="1858"/>
      <c r="Q139" s="1858"/>
      <c r="R139" s="1858"/>
      <c r="S139" s="1858"/>
      <c r="T139" s="1858"/>
      <c r="U139" s="1682">
        <f>U140+U148</f>
        <v>350</v>
      </c>
    </row>
    <row r="140" spans="1:28" ht="21" x14ac:dyDescent="0.25">
      <c r="A140" s="1179"/>
      <c r="B140" s="1197" t="s">
        <v>236</v>
      </c>
      <c r="C140" s="1215"/>
      <c r="D140" s="1217" t="s">
        <v>495</v>
      </c>
      <c r="E140" s="1217" t="s">
        <v>539</v>
      </c>
      <c r="F140" s="1217" t="s">
        <v>235</v>
      </c>
      <c r="G140" s="1664"/>
      <c r="H140" s="1682">
        <f>H141+H144+H146</f>
        <v>210.2</v>
      </c>
      <c r="I140" s="529">
        <f>I141+I144+I146</f>
        <v>0</v>
      </c>
      <c r="J140" s="269">
        <f>J141+J144+J146</f>
        <v>0</v>
      </c>
      <c r="K140" s="1858"/>
      <c r="L140" s="1858"/>
      <c r="M140" s="1858"/>
      <c r="N140" s="1200">
        <f>N141+N144+N146</f>
        <v>20</v>
      </c>
      <c r="O140" s="1858"/>
      <c r="P140" s="1858"/>
      <c r="Q140" s="1858"/>
      <c r="R140" s="1858"/>
      <c r="S140" s="1858"/>
      <c r="T140" s="1858"/>
      <c r="U140" s="1682">
        <f>U141+U144+U146</f>
        <v>30</v>
      </c>
    </row>
    <row r="141" spans="1:28" ht="21" x14ac:dyDescent="0.25">
      <c r="A141" s="1179"/>
      <c r="B141" s="1218" t="s">
        <v>237</v>
      </c>
      <c r="C141" s="1215"/>
      <c r="D141" s="1217" t="s">
        <v>495</v>
      </c>
      <c r="E141" s="1217" t="s">
        <v>539</v>
      </c>
      <c r="F141" s="1217" t="s">
        <v>233</v>
      </c>
      <c r="G141" s="1664"/>
      <c r="H141" s="1682">
        <f>H143</f>
        <v>210.2</v>
      </c>
      <c r="I141" s="529">
        <f>I143</f>
        <v>0</v>
      </c>
      <c r="J141" s="269">
        <f>J143</f>
        <v>0</v>
      </c>
      <c r="K141" s="1858"/>
      <c r="L141" s="1858"/>
      <c r="M141" s="1858"/>
      <c r="N141" s="1200">
        <f>N143</f>
        <v>20</v>
      </c>
      <c r="O141" s="1858"/>
      <c r="P141" s="1858"/>
      <c r="Q141" s="1858"/>
      <c r="R141" s="1858"/>
      <c r="S141" s="1858"/>
      <c r="T141" s="1858"/>
      <c r="U141" s="1682">
        <f>U143</f>
        <v>30</v>
      </c>
    </row>
    <row r="142" spans="1:28" x14ac:dyDescent="0.25">
      <c r="A142" s="1179"/>
      <c r="B142" s="753" t="s">
        <v>948</v>
      </c>
      <c r="C142" s="1215"/>
      <c r="D142" s="1217" t="s">
        <v>495</v>
      </c>
      <c r="E142" s="1217" t="s">
        <v>539</v>
      </c>
      <c r="F142" s="1217" t="s">
        <v>233</v>
      </c>
      <c r="G142" s="1664" t="s">
        <v>955</v>
      </c>
      <c r="H142" s="1682">
        <f t="shared" ref="H142:U142" si="30">H143</f>
        <v>210.2</v>
      </c>
      <c r="I142" s="529">
        <f t="shared" si="30"/>
        <v>0</v>
      </c>
      <c r="J142" s="269">
        <f t="shared" si="30"/>
        <v>0</v>
      </c>
      <c r="K142" s="1858">
        <f t="shared" si="30"/>
        <v>0</v>
      </c>
      <c r="L142" s="1858">
        <f t="shared" si="30"/>
        <v>0</v>
      </c>
      <c r="M142" s="1858">
        <f t="shared" si="30"/>
        <v>0</v>
      </c>
      <c r="N142" s="1200">
        <f t="shared" si="30"/>
        <v>20</v>
      </c>
      <c r="O142" s="1858">
        <f t="shared" si="30"/>
        <v>0</v>
      </c>
      <c r="P142" s="1858">
        <f t="shared" si="30"/>
        <v>0</v>
      </c>
      <c r="Q142" s="1858">
        <f t="shared" si="30"/>
        <v>0</v>
      </c>
      <c r="R142" s="1858">
        <f t="shared" si="30"/>
        <v>0</v>
      </c>
      <c r="S142" s="1858">
        <f t="shared" si="30"/>
        <v>0</v>
      </c>
      <c r="T142" s="1858">
        <f t="shared" si="30"/>
        <v>0</v>
      </c>
      <c r="U142" s="1682">
        <f t="shared" si="30"/>
        <v>30</v>
      </c>
    </row>
    <row r="143" spans="1:28" ht="21" x14ac:dyDescent="0.25">
      <c r="A143" s="1179"/>
      <c r="B143" s="1182" t="s">
        <v>454</v>
      </c>
      <c r="C143" s="1183"/>
      <c r="D143" s="1217" t="s">
        <v>495</v>
      </c>
      <c r="E143" s="1217" t="s">
        <v>539</v>
      </c>
      <c r="F143" s="1217" t="s">
        <v>233</v>
      </c>
      <c r="G143" s="1662" t="s">
        <v>1</v>
      </c>
      <c r="H143" s="1682">
        <f>10+200.2</f>
        <v>210.2</v>
      </c>
      <c r="I143" s="529"/>
      <c r="J143" s="269"/>
      <c r="K143" s="1858"/>
      <c r="L143" s="1858"/>
      <c r="M143" s="1858"/>
      <c r="N143" s="1200">
        <v>20</v>
      </c>
      <c r="O143" s="1858"/>
      <c r="P143" s="1858"/>
      <c r="Q143" s="1858"/>
      <c r="R143" s="1858"/>
      <c r="S143" s="1858"/>
      <c r="T143" s="1858"/>
      <c r="U143" s="1682">
        <v>30</v>
      </c>
    </row>
    <row r="144" spans="1:28" hidden="1" x14ac:dyDescent="0.25">
      <c r="A144" s="1179"/>
      <c r="B144" s="1219" t="s">
        <v>568</v>
      </c>
      <c r="C144" s="1215"/>
      <c r="D144" s="1217" t="s">
        <v>495</v>
      </c>
      <c r="E144" s="1217" t="s">
        <v>539</v>
      </c>
      <c r="F144" s="1217" t="s">
        <v>233</v>
      </c>
      <c r="G144" s="1664" t="s">
        <v>91</v>
      </c>
      <c r="H144" s="1682"/>
      <c r="I144" s="529">
        <f>I145</f>
        <v>0</v>
      </c>
      <c r="J144" s="269">
        <f>J145</f>
        <v>0</v>
      </c>
      <c r="K144" s="1858"/>
      <c r="L144" s="1858"/>
      <c r="M144" s="1858"/>
      <c r="N144" s="1200">
        <f>N145</f>
        <v>0</v>
      </c>
      <c r="O144" s="1858"/>
      <c r="P144" s="1858"/>
      <c r="Q144" s="1858"/>
      <c r="R144" s="1858"/>
      <c r="S144" s="1858"/>
      <c r="T144" s="1858"/>
      <c r="U144" s="1682">
        <f>U145</f>
        <v>0</v>
      </c>
    </row>
    <row r="145" spans="1:21" ht="21" hidden="1" x14ac:dyDescent="0.25">
      <c r="A145" s="1179"/>
      <c r="B145" s="1182" t="s">
        <v>454</v>
      </c>
      <c r="C145" s="1183"/>
      <c r="D145" s="1217" t="s">
        <v>495</v>
      </c>
      <c r="E145" s="1217" t="s">
        <v>539</v>
      </c>
      <c r="F145" s="1217" t="s">
        <v>567</v>
      </c>
      <c r="G145" s="1662" t="s">
        <v>1</v>
      </c>
      <c r="H145" s="1682"/>
      <c r="I145" s="529"/>
      <c r="J145" s="269"/>
      <c r="K145" s="1858"/>
      <c r="L145" s="1858"/>
      <c r="M145" s="1858"/>
      <c r="N145" s="1200"/>
      <c r="O145" s="1858"/>
      <c r="P145" s="1858"/>
      <c r="Q145" s="1858"/>
      <c r="R145" s="1858"/>
      <c r="S145" s="1858"/>
      <c r="T145" s="1858"/>
      <c r="U145" s="1682"/>
    </row>
    <row r="146" spans="1:21" hidden="1" x14ac:dyDescent="0.25">
      <c r="A146" s="1179"/>
      <c r="B146" s="1219" t="s">
        <v>566</v>
      </c>
      <c r="C146" s="1215"/>
      <c r="D146" s="1217" t="s">
        <v>495</v>
      </c>
      <c r="E146" s="1217" t="s">
        <v>539</v>
      </c>
      <c r="F146" s="1217" t="s">
        <v>565</v>
      </c>
      <c r="G146" s="1664"/>
      <c r="H146" s="1682">
        <f>H147</f>
        <v>0</v>
      </c>
      <c r="I146" s="529">
        <f>I147</f>
        <v>0</v>
      </c>
      <c r="J146" s="269">
        <f>J147</f>
        <v>0</v>
      </c>
      <c r="K146" s="1858"/>
      <c r="L146" s="1858"/>
      <c r="M146" s="1858"/>
      <c r="N146" s="1200">
        <f>N147</f>
        <v>0</v>
      </c>
      <c r="O146" s="1858"/>
      <c r="P146" s="1858"/>
      <c r="Q146" s="1858"/>
      <c r="R146" s="1858"/>
      <c r="S146" s="1858"/>
      <c r="T146" s="1858"/>
      <c r="U146" s="1682">
        <f>U147</f>
        <v>0</v>
      </c>
    </row>
    <row r="147" spans="1:21" ht="21" hidden="1" x14ac:dyDescent="0.25">
      <c r="A147" s="1179"/>
      <c r="B147" s="1182" t="s">
        <v>454</v>
      </c>
      <c r="C147" s="1183"/>
      <c r="D147" s="1217" t="s">
        <v>495</v>
      </c>
      <c r="E147" s="1217" t="s">
        <v>539</v>
      </c>
      <c r="F147" s="1217" t="s">
        <v>565</v>
      </c>
      <c r="G147" s="1662" t="s">
        <v>1</v>
      </c>
      <c r="H147" s="1682"/>
      <c r="I147" s="529"/>
      <c r="J147" s="269"/>
      <c r="K147" s="1858"/>
      <c r="L147" s="1858"/>
      <c r="M147" s="1858"/>
      <c r="N147" s="1200"/>
      <c r="O147" s="1858"/>
      <c r="P147" s="1858"/>
      <c r="Q147" s="1858"/>
      <c r="R147" s="1858"/>
      <c r="S147" s="1858"/>
      <c r="T147" s="1858"/>
      <c r="U147" s="1682"/>
    </row>
    <row r="148" spans="1:21" x14ac:dyDescent="0.25">
      <c r="A148" s="1179"/>
      <c r="B148" s="1219" t="s">
        <v>564</v>
      </c>
      <c r="C148" s="1215"/>
      <c r="D148" s="1217" t="s">
        <v>495</v>
      </c>
      <c r="E148" s="1217" t="s">
        <v>539</v>
      </c>
      <c r="F148" s="1217" t="s">
        <v>231</v>
      </c>
      <c r="G148" s="1664"/>
      <c r="H148" s="1682">
        <f>H149</f>
        <v>19.800000000000011</v>
      </c>
      <c r="I148" s="529">
        <f>I149</f>
        <v>0</v>
      </c>
      <c r="J148" s="269">
        <f>J149</f>
        <v>0</v>
      </c>
      <c r="K148" s="1858"/>
      <c r="L148" s="1858"/>
      <c r="M148" s="1858"/>
      <c r="N148" s="1200">
        <f>N149</f>
        <v>270</v>
      </c>
      <c r="O148" s="1858"/>
      <c r="P148" s="1858"/>
      <c r="Q148" s="1858"/>
      <c r="R148" s="1858"/>
      <c r="S148" s="1858"/>
      <c r="T148" s="1858"/>
      <c r="U148" s="1682">
        <f>U149</f>
        <v>320</v>
      </c>
    </row>
    <row r="149" spans="1:21" x14ac:dyDescent="0.25">
      <c r="A149" s="1179"/>
      <c r="B149" s="1117" t="s">
        <v>563</v>
      </c>
      <c r="C149" s="1188"/>
      <c r="D149" s="409" t="s">
        <v>495</v>
      </c>
      <c r="E149" s="409" t="s">
        <v>539</v>
      </c>
      <c r="F149" s="1217" t="s">
        <v>229</v>
      </c>
      <c r="G149" s="1664"/>
      <c r="H149" s="1682">
        <f>H151+H152</f>
        <v>19.800000000000011</v>
      </c>
      <c r="I149" s="529">
        <f>I151+I152</f>
        <v>0</v>
      </c>
      <c r="J149" s="269">
        <f>J151+J152</f>
        <v>0</v>
      </c>
      <c r="K149" s="1858"/>
      <c r="L149" s="1858"/>
      <c r="M149" s="1858"/>
      <c r="N149" s="1200">
        <f>N151+N152</f>
        <v>270</v>
      </c>
      <c r="O149" s="1858"/>
      <c r="P149" s="1858"/>
      <c r="Q149" s="1858"/>
      <c r="R149" s="1858"/>
      <c r="S149" s="1858"/>
      <c r="T149" s="1858"/>
      <c r="U149" s="1682">
        <f>U151+U152</f>
        <v>320</v>
      </c>
    </row>
    <row r="150" spans="1:21" x14ac:dyDescent="0.25">
      <c r="A150" s="1179"/>
      <c r="B150" s="753" t="s">
        <v>948</v>
      </c>
      <c r="C150" s="1188"/>
      <c r="D150" s="409" t="s">
        <v>495</v>
      </c>
      <c r="E150" s="409" t="s">
        <v>539</v>
      </c>
      <c r="F150" s="1217" t="s">
        <v>229</v>
      </c>
      <c r="G150" s="1664" t="s">
        <v>955</v>
      </c>
      <c r="H150" s="1682">
        <f t="shared" ref="H150:U150" si="31">H151</f>
        <v>19.800000000000011</v>
      </c>
      <c r="I150" s="529">
        <f t="shared" si="31"/>
        <v>0</v>
      </c>
      <c r="J150" s="269">
        <f t="shared" si="31"/>
        <v>0</v>
      </c>
      <c r="K150" s="1858">
        <f t="shared" si="31"/>
        <v>0</v>
      </c>
      <c r="L150" s="1858">
        <f t="shared" si="31"/>
        <v>0</v>
      </c>
      <c r="M150" s="1858">
        <f t="shared" si="31"/>
        <v>0</v>
      </c>
      <c r="N150" s="1200">
        <f t="shared" si="31"/>
        <v>270</v>
      </c>
      <c r="O150" s="1858">
        <f t="shared" si="31"/>
        <v>0</v>
      </c>
      <c r="P150" s="1858">
        <f t="shared" si="31"/>
        <v>0</v>
      </c>
      <c r="Q150" s="1858">
        <f t="shared" si="31"/>
        <v>0</v>
      </c>
      <c r="R150" s="1858">
        <f t="shared" si="31"/>
        <v>0</v>
      </c>
      <c r="S150" s="1858">
        <f t="shared" si="31"/>
        <v>0</v>
      </c>
      <c r="T150" s="1858">
        <f t="shared" si="31"/>
        <v>0</v>
      </c>
      <c r="U150" s="1682">
        <f t="shared" si="31"/>
        <v>320</v>
      </c>
    </row>
    <row r="151" spans="1:21" ht="21" x14ac:dyDescent="0.25">
      <c r="A151" s="1179"/>
      <c r="B151" s="1182" t="s">
        <v>454</v>
      </c>
      <c r="C151" s="1183"/>
      <c r="D151" s="409" t="s">
        <v>495</v>
      </c>
      <c r="E151" s="409" t="s">
        <v>539</v>
      </c>
      <c r="F151" s="1217" t="s">
        <v>229</v>
      </c>
      <c r="G151" s="1664">
        <v>240</v>
      </c>
      <c r="H151" s="1682">
        <f>220-200.2</f>
        <v>19.800000000000011</v>
      </c>
      <c r="I151" s="529"/>
      <c r="J151" s="269"/>
      <c r="K151" s="1858"/>
      <c r="L151" s="1858"/>
      <c r="M151" s="1858"/>
      <c r="N151" s="1200">
        <v>270</v>
      </c>
      <c r="O151" s="1858"/>
      <c r="P151" s="1858"/>
      <c r="Q151" s="1858"/>
      <c r="R151" s="1858"/>
      <c r="S151" s="1858"/>
      <c r="T151" s="1858"/>
      <c r="U151" s="1682">
        <v>320</v>
      </c>
    </row>
    <row r="152" spans="1:21" ht="21" hidden="1" x14ac:dyDescent="0.25">
      <c r="A152" s="1179"/>
      <c r="B152" s="1183" t="s">
        <v>562</v>
      </c>
      <c r="C152" s="1183"/>
      <c r="D152" s="409" t="s">
        <v>495</v>
      </c>
      <c r="E152" s="409" t="s">
        <v>539</v>
      </c>
      <c r="F152" s="1217" t="s">
        <v>229</v>
      </c>
      <c r="G152" s="1664" t="s">
        <v>561</v>
      </c>
      <c r="H152" s="1682"/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1" x14ac:dyDescent="0.25">
      <c r="A153" s="1179"/>
      <c r="B153" s="1219" t="s">
        <v>560</v>
      </c>
      <c r="C153" s="1215"/>
      <c r="D153" s="1217" t="s">
        <v>495</v>
      </c>
      <c r="E153" s="1217" t="s">
        <v>539</v>
      </c>
      <c r="F153" s="1217" t="s">
        <v>227</v>
      </c>
      <c r="G153" s="1664"/>
      <c r="H153" s="1682">
        <f>H154</f>
        <v>196</v>
      </c>
      <c r="I153" s="529">
        <f>I154</f>
        <v>0</v>
      </c>
      <c r="J153" s="269">
        <f>J154</f>
        <v>0</v>
      </c>
      <c r="K153" s="1858"/>
      <c r="L153" s="1858"/>
      <c r="M153" s="1858"/>
      <c r="N153" s="1200">
        <f>N154</f>
        <v>212</v>
      </c>
      <c r="O153" s="1858"/>
      <c r="P153" s="1858"/>
      <c r="Q153" s="1858"/>
      <c r="R153" s="1858"/>
      <c r="S153" s="1858"/>
      <c r="T153" s="1858"/>
      <c r="U153" s="1682">
        <f>U154</f>
        <v>228.61</v>
      </c>
    </row>
    <row r="154" spans="1:21" ht="21" x14ac:dyDescent="0.25">
      <c r="A154" s="1179"/>
      <c r="B154" s="1219" t="s">
        <v>559</v>
      </c>
      <c r="C154" s="1215"/>
      <c r="D154" s="1217" t="s">
        <v>495</v>
      </c>
      <c r="E154" s="1217" t="s">
        <v>539</v>
      </c>
      <c r="F154" s="1217" t="s">
        <v>225</v>
      </c>
      <c r="G154" s="1664"/>
      <c r="H154" s="1682">
        <f>H155</f>
        <v>196</v>
      </c>
      <c r="I154" s="529">
        <f>I155+I163</f>
        <v>0</v>
      </c>
      <c r="J154" s="269">
        <f>J155+J163</f>
        <v>0</v>
      </c>
      <c r="K154" s="1858"/>
      <c r="L154" s="1858"/>
      <c r="M154" s="1858"/>
      <c r="N154" s="1200">
        <f>N155</f>
        <v>212</v>
      </c>
      <c r="O154" s="1858"/>
      <c r="P154" s="1858"/>
      <c r="Q154" s="1858"/>
      <c r="R154" s="1858"/>
      <c r="S154" s="1858"/>
      <c r="T154" s="1858"/>
      <c r="U154" s="1682">
        <f>U155</f>
        <v>228.61</v>
      </c>
    </row>
    <row r="155" spans="1:21" x14ac:dyDescent="0.25">
      <c r="A155" s="1179"/>
      <c r="B155" s="1863" t="s">
        <v>224</v>
      </c>
      <c r="C155" s="1188"/>
      <c r="D155" s="1217" t="s">
        <v>495</v>
      </c>
      <c r="E155" s="1217" t="s">
        <v>539</v>
      </c>
      <c r="F155" s="1217" t="s">
        <v>220</v>
      </c>
      <c r="G155" s="1664"/>
      <c r="H155" s="1682">
        <f>H157</f>
        <v>196</v>
      </c>
      <c r="I155" s="529">
        <f>I157</f>
        <v>0</v>
      </c>
      <c r="J155" s="269">
        <f>J157</f>
        <v>0</v>
      </c>
      <c r="K155" s="1858"/>
      <c r="L155" s="1858"/>
      <c r="M155" s="1858"/>
      <c r="N155" s="1200">
        <f>N157</f>
        <v>212</v>
      </c>
      <c r="O155" s="1858"/>
      <c r="P155" s="1858"/>
      <c r="Q155" s="1858"/>
      <c r="R155" s="1858"/>
      <c r="S155" s="1858"/>
      <c r="T155" s="1858"/>
      <c r="U155" s="1682">
        <f>U157</f>
        <v>228.61</v>
      </c>
    </row>
    <row r="156" spans="1:21" x14ac:dyDescent="0.25">
      <c r="A156" s="1179"/>
      <c r="B156" s="753" t="s">
        <v>948</v>
      </c>
      <c r="C156" s="1188"/>
      <c r="D156" s="1217" t="s">
        <v>495</v>
      </c>
      <c r="E156" s="1217" t="s">
        <v>539</v>
      </c>
      <c r="F156" s="1217" t="s">
        <v>220</v>
      </c>
      <c r="G156" s="1664" t="s">
        <v>955</v>
      </c>
      <c r="H156" s="1682">
        <f t="shared" ref="H156:U156" si="32">H157</f>
        <v>196</v>
      </c>
      <c r="I156" s="529">
        <f t="shared" si="32"/>
        <v>0</v>
      </c>
      <c r="J156" s="269">
        <f t="shared" si="32"/>
        <v>0</v>
      </c>
      <c r="K156" s="1858">
        <f t="shared" si="32"/>
        <v>0</v>
      </c>
      <c r="L156" s="1858">
        <f t="shared" si="32"/>
        <v>0</v>
      </c>
      <c r="M156" s="1858">
        <f t="shared" si="32"/>
        <v>0</v>
      </c>
      <c r="N156" s="1200">
        <f t="shared" si="32"/>
        <v>212</v>
      </c>
      <c r="O156" s="1858">
        <f t="shared" si="32"/>
        <v>0</v>
      </c>
      <c r="P156" s="1858">
        <f t="shared" si="32"/>
        <v>0</v>
      </c>
      <c r="Q156" s="1858">
        <f t="shared" si="32"/>
        <v>0</v>
      </c>
      <c r="R156" s="1858">
        <f t="shared" si="32"/>
        <v>0</v>
      </c>
      <c r="S156" s="1858">
        <f t="shared" si="32"/>
        <v>0</v>
      </c>
      <c r="T156" s="1858">
        <f t="shared" si="32"/>
        <v>0</v>
      </c>
      <c r="U156" s="1682">
        <f t="shared" si="32"/>
        <v>228.61</v>
      </c>
    </row>
    <row r="157" spans="1:21" ht="21" x14ac:dyDescent="0.25">
      <c r="A157" s="1179"/>
      <c r="B157" s="1182" t="s">
        <v>454</v>
      </c>
      <c r="C157" s="1183"/>
      <c r="D157" s="1217" t="s">
        <v>495</v>
      </c>
      <c r="E157" s="1217" t="s">
        <v>539</v>
      </c>
      <c r="F157" s="1217" t="s">
        <v>220</v>
      </c>
      <c r="G157" s="1662" t="s">
        <v>1</v>
      </c>
      <c r="H157" s="1682">
        <v>196</v>
      </c>
      <c r="I157" s="529"/>
      <c r="J157" s="269"/>
      <c r="K157" s="1858"/>
      <c r="L157" s="1858"/>
      <c r="M157" s="1858"/>
      <c r="N157" s="1200">
        <v>212</v>
      </c>
      <c r="O157" s="1858"/>
      <c r="P157" s="1858"/>
      <c r="Q157" s="1858"/>
      <c r="R157" s="1858"/>
      <c r="S157" s="1858"/>
      <c r="T157" s="1858"/>
      <c r="U157" s="1682">
        <v>228.61</v>
      </c>
    </row>
    <row r="158" spans="1:21" ht="21" hidden="1" x14ac:dyDescent="0.25">
      <c r="A158" s="1179"/>
      <c r="B158" s="753" t="s">
        <v>499</v>
      </c>
      <c r="C158" s="1183"/>
      <c r="D158" s="1217" t="s">
        <v>495</v>
      </c>
      <c r="E158" s="1217" t="s">
        <v>539</v>
      </c>
      <c r="F158" s="409" t="s">
        <v>89</v>
      </c>
      <c r="G158" s="1662"/>
      <c r="H158" s="1682">
        <f>H159</f>
        <v>0</v>
      </c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1" hidden="1" x14ac:dyDescent="0.25">
      <c r="A159" s="1179"/>
      <c r="B159" s="753" t="s">
        <v>109</v>
      </c>
      <c r="C159" s="1183"/>
      <c r="D159" s="1217" t="s">
        <v>495</v>
      </c>
      <c r="E159" s="1217" t="s">
        <v>539</v>
      </c>
      <c r="F159" s="409" t="s">
        <v>84</v>
      </c>
      <c r="G159" s="1662"/>
      <c r="H159" s="1682">
        <f>H160</f>
        <v>0</v>
      </c>
      <c r="I159" s="529"/>
      <c r="J159" s="269"/>
      <c r="K159" s="1858"/>
      <c r="L159" s="1858"/>
      <c r="M159" s="1858"/>
      <c r="N159" s="1200"/>
      <c r="O159" s="1858"/>
      <c r="P159" s="1858"/>
      <c r="Q159" s="1858"/>
      <c r="R159" s="1858"/>
      <c r="S159" s="1858"/>
      <c r="T159" s="1858"/>
      <c r="U159" s="1682"/>
    </row>
    <row r="160" spans="1:21" hidden="1" x14ac:dyDescent="0.25">
      <c r="A160" s="1179"/>
      <c r="B160" s="753" t="s">
        <v>109</v>
      </c>
      <c r="C160" s="1183"/>
      <c r="D160" s="1217" t="s">
        <v>495</v>
      </c>
      <c r="E160" s="1217" t="s">
        <v>539</v>
      </c>
      <c r="F160" s="409" t="s">
        <v>82</v>
      </c>
      <c r="G160" s="1662"/>
      <c r="H160" s="1682">
        <f>H161</f>
        <v>0</v>
      </c>
      <c r="I160" s="529"/>
      <c r="J160" s="269"/>
      <c r="K160" s="1858"/>
      <c r="L160" s="1858"/>
      <c r="M160" s="1858"/>
      <c r="N160" s="1200"/>
      <c r="O160" s="1858"/>
      <c r="P160" s="1858"/>
      <c r="Q160" s="1858"/>
      <c r="R160" s="1858"/>
      <c r="S160" s="1858"/>
      <c r="T160" s="1858"/>
      <c r="U160" s="1682"/>
    </row>
    <row r="161" spans="1:25" ht="25.5" hidden="1" customHeight="1" x14ac:dyDescent="0.25">
      <c r="A161" s="1179"/>
      <c r="B161" s="1182" t="s">
        <v>237</v>
      </c>
      <c r="C161" s="1183"/>
      <c r="D161" s="1217" t="s">
        <v>495</v>
      </c>
      <c r="E161" s="1217" t="s">
        <v>539</v>
      </c>
      <c r="F161" s="1217" t="s">
        <v>1006</v>
      </c>
      <c r="G161" s="1662"/>
      <c r="H161" s="1682">
        <f>H162</f>
        <v>0</v>
      </c>
      <c r="I161" s="529"/>
      <c r="J161" s="269"/>
      <c r="K161" s="1858"/>
      <c r="L161" s="1858"/>
      <c r="M161" s="1858"/>
      <c r="N161" s="1200"/>
      <c r="O161" s="1858"/>
      <c r="P161" s="1858"/>
      <c r="Q161" s="1858"/>
      <c r="R161" s="1858"/>
      <c r="S161" s="1858"/>
      <c r="T161" s="1858"/>
      <c r="U161" s="1682"/>
    </row>
    <row r="162" spans="1:25" hidden="1" x14ac:dyDescent="0.25">
      <c r="A162" s="1179"/>
      <c r="B162" s="1182" t="s">
        <v>457</v>
      </c>
      <c r="C162" s="1183"/>
      <c r="D162" s="1217" t="s">
        <v>495</v>
      </c>
      <c r="E162" s="1217" t="s">
        <v>539</v>
      </c>
      <c r="F162" s="1217" t="s">
        <v>1006</v>
      </c>
      <c r="G162" s="1662" t="s">
        <v>91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5" ht="27" customHeight="1" x14ac:dyDescent="0.25">
      <c r="A163" s="1179"/>
      <c r="B163" s="1214" t="s">
        <v>833</v>
      </c>
      <c r="C163" s="1188"/>
      <c r="D163" s="1221" t="s">
        <v>495</v>
      </c>
      <c r="E163" s="1221" t="s">
        <v>832</v>
      </c>
      <c r="F163" s="408"/>
      <c r="G163" s="1769"/>
      <c r="H163" s="1683">
        <f>H165</f>
        <v>7.04</v>
      </c>
      <c r="I163" s="529">
        <f>I165</f>
        <v>0</v>
      </c>
      <c r="J163" s="269">
        <f>J165</f>
        <v>0</v>
      </c>
      <c r="K163" s="1858"/>
      <c r="L163" s="1858"/>
      <c r="M163" s="1858"/>
      <c r="N163" s="1208">
        <f>N165</f>
        <v>7.04</v>
      </c>
      <c r="O163" s="1858"/>
      <c r="P163" s="1858"/>
      <c r="Q163" s="1858"/>
      <c r="R163" s="1858"/>
      <c r="S163" s="1858"/>
      <c r="T163" s="1858"/>
      <c r="U163" s="1683">
        <f>U165</f>
        <v>7.04</v>
      </c>
      <c r="V163" s="1861">
        <v>7.1</v>
      </c>
      <c r="W163" s="1861">
        <v>7.1</v>
      </c>
      <c r="X163" s="1861">
        <v>7.1</v>
      </c>
      <c r="Y163" s="2342" t="s">
        <v>444</v>
      </c>
    </row>
    <row r="164" spans="1:25" ht="26.25" customHeight="1" x14ac:dyDescent="0.25">
      <c r="A164" s="1179"/>
      <c r="B164" s="753" t="s">
        <v>583</v>
      </c>
      <c r="C164" s="1188"/>
      <c r="D164" s="1217" t="s">
        <v>495</v>
      </c>
      <c r="E164" s="1217" t="s">
        <v>832</v>
      </c>
      <c r="F164" s="409" t="s">
        <v>157</v>
      </c>
      <c r="G164" s="1664"/>
      <c r="H164" s="1682">
        <f>H165</f>
        <v>7.04</v>
      </c>
      <c r="I164" s="529"/>
      <c r="J164" s="269"/>
      <c r="K164" s="1858"/>
      <c r="L164" s="1858"/>
      <c r="M164" s="1858"/>
      <c r="N164" s="1200">
        <f>N165</f>
        <v>7.04</v>
      </c>
      <c r="O164" s="1858"/>
      <c r="P164" s="1858"/>
      <c r="Q164" s="1858"/>
      <c r="R164" s="1858"/>
      <c r="S164" s="1858"/>
      <c r="T164" s="1858"/>
      <c r="U164" s="1682">
        <f>U165</f>
        <v>7.04</v>
      </c>
    </row>
    <row r="165" spans="1:25" ht="27.75" customHeight="1" x14ac:dyDescent="0.25">
      <c r="A165" s="1179"/>
      <c r="B165" s="1197" t="s">
        <v>156</v>
      </c>
      <c r="C165" s="1183"/>
      <c r="D165" s="1217" t="s">
        <v>495</v>
      </c>
      <c r="E165" s="1217" t="s">
        <v>832</v>
      </c>
      <c r="F165" s="409" t="s">
        <v>155</v>
      </c>
      <c r="G165" s="1662"/>
      <c r="H165" s="1682">
        <f>H166</f>
        <v>7.04</v>
      </c>
      <c r="I165" s="529"/>
      <c r="J165" s="269"/>
      <c r="K165" s="1858"/>
      <c r="L165" s="1858"/>
      <c r="M165" s="1858"/>
      <c r="N165" s="1200">
        <f>N166</f>
        <v>7.04</v>
      </c>
      <c r="O165" s="1858"/>
      <c r="P165" s="1858"/>
      <c r="Q165" s="1858"/>
      <c r="R165" s="1858"/>
      <c r="S165" s="1858"/>
      <c r="T165" s="1858"/>
      <c r="U165" s="1682">
        <f>U166</f>
        <v>7.04</v>
      </c>
    </row>
    <row r="166" spans="1:25" x14ac:dyDescent="0.25">
      <c r="A166" s="842"/>
      <c r="B166" s="1219" t="s">
        <v>109</v>
      </c>
      <c r="C166" s="1222"/>
      <c r="D166" s="409" t="s">
        <v>495</v>
      </c>
      <c r="E166" s="409" t="s">
        <v>832</v>
      </c>
      <c r="F166" s="409" t="s">
        <v>154</v>
      </c>
      <c r="G166" s="1662"/>
      <c r="H166" s="1682">
        <f>H167</f>
        <v>7.04</v>
      </c>
      <c r="I166" s="841">
        <f t="shared" ref="I166:J167" si="33">I167</f>
        <v>0</v>
      </c>
      <c r="J166" s="276">
        <f t="shared" si="33"/>
        <v>0</v>
      </c>
      <c r="K166" s="1858"/>
      <c r="L166" s="1858"/>
      <c r="M166" s="1858"/>
      <c r="N166" s="1200">
        <f>N167</f>
        <v>7.04</v>
      </c>
      <c r="O166" s="1858"/>
      <c r="P166" s="1858"/>
      <c r="Q166" s="1858"/>
      <c r="R166" s="1858"/>
      <c r="S166" s="1858"/>
      <c r="T166" s="1858"/>
      <c r="U166" s="1682">
        <f>U167</f>
        <v>7.04</v>
      </c>
    </row>
    <row r="167" spans="1:25" ht="31.5" x14ac:dyDescent="0.25">
      <c r="A167" s="1179"/>
      <c r="B167" s="1219" t="s">
        <v>834</v>
      </c>
      <c r="C167" s="1223"/>
      <c r="D167" s="409" t="s">
        <v>495</v>
      </c>
      <c r="E167" s="409" t="s">
        <v>832</v>
      </c>
      <c r="F167" s="409" t="s">
        <v>127</v>
      </c>
      <c r="G167" s="1662"/>
      <c r="H167" s="1682">
        <f>H168+H170</f>
        <v>7.04</v>
      </c>
      <c r="I167" s="529">
        <f t="shared" si="33"/>
        <v>0</v>
      </c>
      <c r="J167" s="269">
        <f t="shared" si="33"/>
        <v>0</v>
      </c>
      <c r="K167" s="1862">
        <f>K168+K170</f>
        <v>0</v>
      </c>
      <c r="L167" s="1858"/>
      <c r="M167" s="1858"/>
      <c r="N167" s="1200">
        <f>N168+N170</f>
        <v>7.04</v>
      </c>
      <c r="O167" s="1858"/>
      <c r="P167" s="1858"/>
      <c r="Q167" s="1858"/>
      <c r="R167" s="1858"/>
      <c r="S167" s="1858"/>
      <c r="T167" s="1858"/>
      <c r="U167" s="1682">
        <f>U168+U170</f>
        <v>7.04</v>
      </c>
    </row>
    <row r="168" spans="1:25" hidden="1" x14ac:dyDescent="0.25">
      <c r="A168" s="842"/>
      <c r="B168" s="753" t="s">
        <v>571</v>
      </c>
      <c r="C168" s="1224"/>
      <c r="D168" s="1217" t="s">
        <v>495</v>
      </c>
      <c r="E168" s="1217" t="s">
        <v>832</v>
      </c>
      <c r="F168" s="409" t="s">
        <v>127</v>
      </c>
      <c r="G168" s="1662" t="s">
        <v>5</v>
      </c>
      <c r="H168" s="1682"/>
      <c r="I168" s="529"/>
      <c r="J168" s="269"/>
      <c r="K168" s="1858"/>
      <c r="L168" s="1858"/>
      <c r="M168" s="1858"/>
      <c r="N168" s="1200"/>
      <c r="O168" s="1858"/>
      <c r="P168" s="1858"/>
      <c r="Q168" s="1858"/>
      <c r="R168" s="1858"/>
      <c r="S168" s="1858"/>
      <c r="T168" s="1858"/>
      <c r="U168" s="1682"/>
    </row>
    <row r="169" spans="1:25" x14ac:dyDescent="0.25">
      <c r="A169" s="842"/>
      <c r="B169" s="753" t="s">
        <v>948</v>
      </c>
      <c r="C169" s="1224"/>
      <c r="D169" s="1217" t="s">
        <v>495</v>
      </c>
      <c r="E169" s="1217" t="s">
        <v>832</v>
      </c>
      <c r="F169" s="409" t="s">
        <v>127</v>
      </c>
      <c r="G169" s="1662" t="s">
        <v>955</v>
      </c>
      <c r="H169" s="1682">
        <f t="shared" ref="H169:U169" si="34">H170</f>
        <v>7.04</v>
      </c>
      <c r="I169" s="529">
        <f t="shared" si="34"/>
        <v>0</v>
      </c>
      <c r="J169" s="269">
        <f t="shared" si="34"/>
        <v>0</v>
      </c>
      <c r="K169" s="1858">
        <f t="shared" si="34"/>
        <v>0</v>
      </c>
      <c r="L169" s="1858">
        <f t="shared" si="34"/>
        <v>0</v>
      </c>
      <c r="M169" s="1858">
        <f t="shared" si="34"/>
        <v>0</v>
      </c>
      <c r="N169" s="1200">
        <f t="shared" si="34"/>
        <v>7.04</v>
      </c>
      <c r="O169" s="1858">
        <f t="shared" si="34"/>
        <v>0</v>
      </c>
      <c r="P169" s="1858">
        <f t="shared" si="34"/>
        <v>0</v>
      </c>
      <c r="Q169" s="1858">
        <f t="shared" si="34"/>
        <v>0</v>
      </c>
      <c r="R169" s="1858">
        <f t="shared" si="34"/>
        <v>0</v>
      </c>
      <c r="S169" s="1858">
        <f t="shared" si="34"/>
        <v>0</v>
      </c>
      <c r="T169" s="1858">
        <f t="shared" si="34"/>
        <v>0</v>
      </c>
      <c r="U169" s="1682">
        <f t="shared" si="34"/>
        <v>7.04</v>
      </c>
    </row>
    <row r="170" spans="1:25" ht="21" x14ac:dyDescent="0.25">
      <c r="A170" s="1179"/>
      <c r="B170" s="1182" t="s">
        <v>454</v>
      </c>
      <c r="C170" s="1183"/>
      <c r="D170" s="1217" t="s">
        <v>495</v>
      </c>
      <c r="E170" s="1217" t="s">
        <v>832</v>
      </c>
      <c r="F170" s="409" t="s">
        <v>127</v>
      </c>
      <c r="G170" s="1662" t="s">
        <v>1</v>
      </c>
      <c r="H170" s="1682">
        <f>7.1-0.06</f>
        <v>7.04</v>
      </c>
      <c r="I170" s="529"/>
      <c r="J170" s="269"/>
      <c r="K170" s="1858"/>
      <c r="L170" s="1858"/>
      <c r="M170" s="1858"/>
      <c r="N170" s="1200">
        <f>7.1-0.06</f>
        <v>7.04</v>
      </c>
      <c r="O170" s="1858"/>
      <c r="P170" s="1858"/>
      <c r="Q170" s="1858"/>
      <c r="R170" s="1858"/>
      <c r="S170" s="1858"/>
      <c r="T170" s="1858"/>
      <c r="U170" s="1682">
        <f>7.1-0.06</f>
        <v>7.04</v>
      </c>
      <c r="V170" s="1861">
        <v>7.1</v>
      </c>
      <c r="W170" s="1861">
        <v>7.1</v>
      </c>
      <c r="X170" s="1861">
        <v>7.1</v>
      </c>
    </row>
    <row r="171" spans="1:25" x14ac:dyDescent="0.25">
      <c r="A171" s="1179"/>
      <c r="B171" s="1225" t="s">
        <v>396</v>
      </c>
      <c r="C171" s="1226"/>
      <c r="D171" s="1227" t="s">
        <v>452</v>
      </c>
      <c r="E171" s="1227" t="s">
        <v>459</v>
      </c>
      <c r="F171" s="1227"/>
      <c r="G171" s="1665"/>
      <c r="H171" s="1684">
        <f>H172+H209</f>
        <v>5783.7600199999997</v>
      </c>
      <c r="I171" s="853">
        <f>I172+I209</f>
        <v>0</v>
      </c>
      <c r="J171" s="400">
        <f>J172+J209</f>
        <v>0</v>
      </c>
      <c r="K171" s="1858"/>
      <c r="L171" s="1858"/>
      <c r="M171" s="1858"/>
      <c r="N171" s="1228">
        <f>N172+N209</f>
        <v>5128.3279999999995</v>
      </c>
      <c r="O171" s="1858"/>
      <c r="P171" s="1858"/>
      <c r="Q171" s="1858"/>
      <c r="R171" s="1858"/>
      <c r="S171" s="1858"/>
      <c r="T171" s="1858"/>
      <c r="U171" s="1684">
        <f>U172+U209</f>
        <v>3837.6320000000001</v>
      </c>
    </row>
    <row r="172" spans="1:25" x14ac:dyDescent="0.25">
      <c r="A172" s="1229"/>
      <c r="B172" s="1225" t="s">
        <v>60</v>
      </c>
      <c r="C172" s="1227"/>
      <c r="D172" s="1227" t="s">
        <v>452</v>
      </c>
      <c r="E172" s="1227" t="s">
        <v>539</v>
      </c>
      <c r="F172" s="1227"/>
      <c r="G172" s="1665"/>
      <c r="H172" s="1684">
        <f>H178+H181+H188+H191+H208+H184</f>
        <v>2238.3649999999998</v>
      </c>
      <c r="I172" s="853">
        <f>I173</f>
        <v>0</v>
      </c>
      <c r="J172" s="400">
        <f>J173</f>
        <v>0</v>
      </c>
      <c r="K172" s="1858"/>
      <c r="L172" s="1858"/>
      <c r="M172" s="1858"/>
      <c r="N172" s="1228">
        <f>N178+N181+N188+N191+N208+N184</f>
        <v>2246.0999999999995</v>
      </c>
      <c r="O172" s="1858"/>
      <c r="P172" s="1858"/>
      <c r="Q172" s="1858"/>
      <c r="R172" s="1858"/>
      <c r="S172" s="1858"/>
      <c r="T172" s="1858"/>
      <c r="U172" s="1684">
        <f>U178+U181+U188+U191+U208+U184</f>
        <v>1976.4</v>
      </c>
    </row>
    <row r="173" spans="1:25" ht="30" customHeight="1" x14ac:dyDescent="0.25">
      <c r="A173" s="1179"/>
      <c r="B173" s="1205" t="s">
        <v>927</v>
      </c>
      <c r="C173" s="409"/>
      <c r="D173" s="409" t="s">
        <v>452</v>
      </c>
      <c r="E173" s="409" t="s">
        <v>539</v>
      </c>
      <c r="F173" s="409" t="s">
        <v>218</v>
      </c>
      <c r="G173" s="1662"/>
      <c r="H173" s="1682">
        <f>H174+H185</f>
        <v>2238.3649999999998</v>
      </c>
      <c r="I173" s="529">
        <f>I174+I185</f>
        <v>0</v>
      </c>
      <c r="J173" s="270">
        <f>J174+J185</f>
        <v>0</v>
      </c>
      <c r="K173" s="1858"/>
      <c r="L173" s="1858"/>
      <c r="M173" s="1858"/>
      <c r="N173" s="1200">
        <f>N174+N185</f>
        <v>2246.0999999999995</v>
      </c>
      <c r="O173" s="1858"/>
      <c r="P173" s="1858"/>
      <c r="Q173" s="1858"/>
      <c r="R173" s="1858"/>
      <c r="S173" s="1858"/>
      <c r="T173" s="1858"/>
      <c r="U173" s="1682">
        <f>U174+U185</f>
        <v>1976.4</v>
      </c>
    </row>
    <row r="174" spans="1:25" ht="21" x14ac:dyDescent="0.25">
      <c r="A174" s="1179"/>
      <c r="B174" s="1205" t="s">
        <v>217</v>
      </c>
      <c r="C174" s="1217"/>
      <c r="D174" s="1217" t="s">
        <v>452</v>
      </c>
      <c r="E174" s="1217" t="s">
        <v>539</v>
      </c>
      <c r="F174" s="409" t="s">
        <v>216</v>
      </c>
      <c r="G174" s="1664"/>
      <c r="H174" s="1682">
        <f>H175</f>
        <v>1872.6869999999999</v>
      </c>
      <c r="I174" s="529">
        <f>I175</f>
        <v>0</v>
      </c>
      <c r="J174" s="270">
        <f>J175</f>
        <v>0</v>
      </c>
      <c r="K174" s="1862">
        <f>K178+K181+K188+K191+K208</f>
        <v>388.9</v>
      </c>
      <c r="L174" s="1858"/>
      <c r="M174" s="1858"/>
      <c r="N174" s="1200">
        <f>N175</f>
        <v>1714.7219999999998</v>
      </c>
      <c r="O174" s="1858"/>
      <c r="P174" s="1858"/>
      <c r="Q174" s="1858"/>
      <c r="R174" s="1858"/>
      <c r="S174" s="1858"/>
      <c r="T174" s="1858"/>
      <c r="U174" s="1682">
        <f>U175</f>
        <v>766.4</v>
      </c>
    </row>
    <row r="175" spans="1:25" ht="52.5" x14ac:dyDescent="0.25">
      <c r="A175" s="1179"/>
      <c r="B175" s="1197" t="s">
        <v>986</v>
      </c>
      <c r="C175" s="1217"/>
      <c r="D175" s="1217" t="s">
        <v>452</v>
      </c>
      <c r="E175" s="1217" t="s">
        <v>539</v>
      </c>
      <c r="F175" s="1217" t="s">
        <v>214</v>
      </c>
      <c r="G175" s="1664"/>
      <c r="H175" s="1682">
        <f>H176+H179+H184</f>
        <v>1872.6869999999999</v>
      </c>
      <c r="I175" s="529">
        <f>I176+I179+I184</f>
        <v>0</v>
      </c>
      <c r="J175" s="270">
        <f>J176+J179+J184</f>
        <v>0</v>
      </c>
      <c r="K175" s="1858"/>
      <c r="L175" s="1858"/>
      <c r="M175" s="1858"/>
      <c r="N175" s="1200">
        <f>N176+N179+N184</f>
        <v>1714.7219999999998</v>
      </c>
      <c r="O175" s="1858"/>
      <c r="P175" s="1858"/>
      <c r="Q175" s="1858"/>
      <c r="R175" s="1858"/>
      <c r="S175" s="1858"/>
      <c r="T175" s="1858"/>
      <c r="U175" s="1682">
        <f>U176+U179+U184</f>
        <v>766.4</v>
      </c>
    </row>
    <row r="176" spans="1:25" hidden="1" x14ac:dyDescent="0.25">
      <c r="A176" s="1179"/>
      <c r="B176" s="1197" t="s">
        <v>619</v>
      </c>
      <c r="C176" s="1217"/>
      <c r="D176" s="1217" t="s">
        <v>452</v>
      </c>
      <c r="E176" s="1217" t="s">
        <v>539</v>
      </c>
      <c r="F176" s="1217" t="s">
        <v>213</v>
      </c>
      <c r="G176" s="1662"/>
      <c r="H176" s="1682">
        <f>H178</f>
        <v>0</v>
      </c>
      <c r="I176" s="529">
        <f>I178</f>
        <v>0</v>
      </c>
      <c r="J176" s="270">
        <f>J178</f>
        <v>0</v>
      </c>
      <c r="K176" s="1858"/>
      <c r="L176" s="1858"/>
      <c r="M176" s="1858"/>
      <c r="N176" s="1200">
        <f>N178</f>
        <v>0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8" hidden="1" x14ac:dyDescent="0.25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213</v>
      </c>
      <c r="G177" s="1662" t="s">
        <v>955</v>
      </c>
      <c r="H177" s="1682">
        <f t="shared" ref="H177:U177" si="35">H178</f>
        <v>0</v>
      </c>
      <c r="I177" s="529">
        <f t="shared" si="35"/>
        <v>0</v>
      </c>
      <c r="J177" s="404">
        <f t="shared" si="35"/>
        <v>0</v>
      </c>
      <c r="K177" s="1858">
        <f t="shared" si="35"/>
        <v>0</v>
      </c>
      <c r="L177" s="1858">
        <f t="shared" si="35"/>
        <v>0</v>
      </c>
      <c r="M177" s="1858">
        <f t="shared" si="35"/>
        <v>0</v>
      </c>
      <c r="N177" s="1200">
        <f t="shared" si="35"/>
        <v>0</v>
      </c>
      <c r="O177" s="1858">
        <f t="shared" si="35"/>
        <v>0</v>
      </c>
      <c r="P177" s="1858">
        <f t="shared" si="35"/>
        <v>0</v>
      </c>
      <c r="Q177" s="1858">
        <f t="shared" si="35"/>
        <v>0</v>
      </c>
      <c r="R177" s="1858">
        <f t="shared" si="35"/>
        <v>0</v>
      </c>
      <c r="S177" s="1858">
        <f t="shared" si="35"/>
        <v>0</v>
      </c>
      <c r="T177" s="1858">
        <f t="shared" si="35"/>
        <v>0</v>
      </c>
      <c r="U177" s="1682">
        <f t="shared" si="35"/>
        <v>0</v>
      </c>
    </row>
    <row r="178" spans="1:28" ht="21" hidden="1" x14ac:dyDescent="0.25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213</v>
      </c>
      <c r="G178" s="1662" t="s">
        <v>1</v>
      </c>
      <c r="H178" s="1682">
        <v>0</v>
      </c>
      <c r="I178" s="529"/>
      <c r="J178" s="269"/>
      <c r="K178" s="1858"/>
      <c r="L178" s="1858"/>
      <c r="M178" s="1858"/>
      <c r="N178" s="1200">
        <v>0</v>
      </c>
      <c r="O178" s="1858"/>
      <c r="P178" s="1858"/>
      <c r="Q178" s="1858"/>
      <c r="R178" s="1858"/>
      <c r="S178" s="1858"/>
      <c r="T178" s="1858"/>
      <c r="U178" s="1682">
        <v>0</v>
      </c>
      <c r="V178" s="237">
        <f>H172-V181-V188-V191</f>
        <v>-646.64900000000011</v>
      </c>
      <c r="W178" s="237"/>
      <c r="X178" s="237"/>
    </row>
    <row r="179" spans="1:28" ht="21" x14ac:dyDescent="0.25">
      <c r="A179" s="1179"/>
      <c r="B179" s="1197" t="s">
        <v>212</v>
      </c>
      <c r="C179" s="1217"/>
      <c r="D179" s="1217" t="s">
        <v>452</v>
      </c>
      <c r="E179" s="1217" t="s">
        <v>539</v>
      </c>
      <c r="F179" s="1217" t="s">
        <v>984</v>
      </c>
      <c r="G179" s="1662"/>
      <c r="H179" s="1682">
        <f>H181</f>
        <v>766.39999999999986</v>
      </c>
      <c r="I179" s="529">
        <f>I181</f>
        <v>0</v>
      </c>
      <c r="J179" s="269">
        <f>J181</f>
        <v>0</v>
      </c>
      <c r="K179" s="1858"/>
      <c r="L179" s="1858"/>
      <c r="M179" s="1858"/>
      <c r="N179" s="1200">
        <f>N181</f>
        <v>766.39999999999975</v>
      </c>
      <c r="O179" s="1858"/>
      <c r="P179" s="1858"/>
      <c r="Q179" s="1858"/>
      <c r="R179" s="1858"/>
      <c r="S179" s="1858"/>
      <c r="T179" s="1858"/>
      <c r="U179" s="1682">
        <f>U181</f>
        <v>383.2</v>
      </c>
    </row>
    <row r="180" spans="1:28" x14ac:dyDescent="0.25">
      <c r="A180" s="1179"/>
      <c r="B180" s="753" t="s">
        <v>948</v>
      </c>
      <c r="C180" s="1217"/>
      <c r="D180" s="1217" t="s">
        <v>452</v>
      </c>
      <c r="E180" s="1217" t="s">
        <v>539</v>
      </c>
      <c r="F180" s="1217" t="s">
        <v>984</v>
      </c>
      <c r="G180" s="1662" t="s">
        <v>955</v>
      </c>
      <c r="H180" s="1682">
        <f t="shared" ref="H180:U180" si="36">H181</f>
        <v>766.39999999999986</v>
      </c>
      <c r="I180" s="529">
        <f t="shared" si="36"/>
        <v>0</v>
      </c>
      <c r="J180" s="269">
        <f t="shared" si="36"/>
        <v>0</v>
      </c>
      <c r="K180" s="1858">
        <f t="shared" si="36"/>
        <v>0</v>
      </c>
      <c r="L180" s="1858">
        <f t="shared" si="36"/>
        <v>0</v>
      </c>
      <c r="M180" s="1858">
        <f t="shared" si="36"/>
        <v>0</v>
      </c>
      <c r="N180" s="1200">
        <f t="shared" si="36"/>
        <v>766.39999999999975</v>
      </c>
      <c r="O180" s="1858">
        <f t="shared" si="36"/>
        <v>0</v>
      </c>
      <c r="P180" s="1858">
        <f t="shared" si="36"/>
        <v>0</v>
      </c>
      <c r="Q180" s="1858">
        <f t="shared" si="36"/>
        <v>0</v>
      </c>
      <c r="R180" s="1858">
        <f t="shared" si="36"/>
        <v>0</v>
      </c>
      <c r="S180" s="1858">
        <f t="shared" si="36"/>
        <v>0</v>
      </c>
      <c r="T180" s="1858">
        <f t="shared" si="36"/>
        <v>0</v>
      </c>
      <c r="U180" s="1682">
        <f t="shared" si="36"/>
        <v>383.2</v>
      </c>
    </row>
    <row r="181" spans="1:28" ht="21" x14ac:dyDescent="0.25">
      <c r="A181" s="1179"/>
      <c r="B181" s="1182" t="s">
        <v>454</v>
      </c>
      <c r="C181" s="1217"/>
      <c r="D181" s="1217" t="s">
        <v>452</v>
      </c>
      <c r="E181" s="1217" t="s">
        <v>539</v>
      </c>
      <c r="F181" s="1217" t="s">
        <v>984</v>
      </c>
      <c r="G181" s="1662" t="s">
        <v>1</v>
      </c>
      <c r="H181" s="1682">
        <f>777.8+948.322-394.6+157.965-723.087</f>
        <v>766.39999999999986</v>
      </c>
      <c r="I181" s="529"/>
      <c r="J181" s="269"/>
      <c r="K181" s="1858"/>
      <c r="L181" s="1858"/>
      <c r="M181" s="1858"/>
      <c r="N181" s="1200">
        <f>777.8+948.322-388.9-5.7-565.122</f>
        <v>766.39999999999975</v>
      </c>
      <c r="O181" s="1858"/>
      <c r="P181" s="1858"/>
      <c r="Q181" s="1858"/>
      <c r="R181" s="1858"/>
      <c r="S181" s="1858"/>
      <c r="T181" s="1858"/>
      <c r="U181" s="1682">
        <v>383.2</v>
      </c>
      <c r="V181" s="1">
        <v>1695.0139999999999</v>
      </c>
      <c r="W181" s="1">
        <v>1726.1220000000001</v>
      </c>
      <c r="X181" s="1">
        <v>1726.1220000000001</v>
      </c>
      <c r="AA181" s="1">
        <v>-5.7</v>
      </c>
      <c r="AB181" s="1">
        <v>383.2</v>
      </c>
    </row>
    <row r="182" spans="1:28" ht="13" x14ac:dyDescent="0.25">
      <c r="A182" s="1179"/>
      <c r="B182" s="1098" t="s">
        <v>201</v>
      </c>
      <c r="C182" s="1217"/>
      <c r="D182" s="1217" t="s">
        <v>452</v>
      </c>
      <c r="E182" s="1217" t="s">
        <v>539</v>
      </c>
      <c r="F182" s="1217" t="s">
        <v>213</v>
      </c>
      <c r="G182" s="1662"/>
      <c r="H182" s="1682">
        <f>H183</f>
        <v>1106.287</v>
      </c>
      <c r="I182" s="529">
        <f>I184</f>
        <v>0</v>
      </c>
      <c r="J182" s="269">
        <f>J184</f>
        <v>0</v>
      </c>
      <c r="K182" s="1858"/>
      <c r="L182" s="1858"/>
      <c r="M182" s="1858"/>
      <c r="N182" s="1200">
        <f>N183</f>
        <v>948.32199999999989</v>
      </c>
      <c r="O182" s="1858"/>
      <c r="P182" s="1858"/>
      <c r="Q182" s="1858"/>
      <c r="R182" s="1858"/>
      <c r="S182" s="1858"/>
      <c r="T182" s="1858"/>
      <c r="U182" s="1682">
        <f>U184</f>
        <v>383.2</v>
      </c>
    </row>
    <row r="183" spans="1:28" x14ac:dyDescent="0.25">
      <c r="A183" s="1179"/>
      <c r="B183" s="753" t="s">
        <v>948</v>
      </c>
      <c r="C183" s="1217"/>
      <c r="D183" s="1217" t="s">
        <v>452</v>
      </c>
      <c r="E183" s="1217" t="s">
        <v>539</v>
      </c>
      <c r="F183" s="1217" t="s">
        <v>213</v>
      </c>
      <c r="G183" s="1662" t="s">
        <v>955</v>
      </c>
      <c r="H183" s="1682">
        <f>H184</f>
        <v>1106.287</v>
      </c>
      <c r="I183" s="529"/>
      <c r="J183" s="269"/>
      <c r="K183" s="1858"/>
      <c r="L183" s="1858"/>
      <c r="M183" s="1858"/>
      <c r="N183" s="1200">
        <f>N184</f>
        <v>948.32199999999989</v>
      </c>
      <c r="O183" s="1858"/>
      <c r="P183" s="1858"/>
      <c r="Q183" s="1858"/>
      <c r="R183" s="1858"/>
      <c r="S183" s="1858"/>
      <c r="T183" s="1858"/>
      <c r="U183" s="1682">
        <f>U184</f>
        <v>383.2</v>
      </c>
    </row>
    <row r="184" spans="1:28" ht="21" x14ac:dyDescent="0.25">
      <c r="A184" s="1179"/>
      <c r="B184" s="1182" t="s">
        <v>454</v>
      </c>
      <c r="C184" s="1217"/>
      <c r="D184" s="1217" t="s">
        <v>452</v>
      </c>
      <c r="E184" s="1217" t="s">
        <v>539</v>
      </c>
      <c r="F184" s="1217" t="s">
        <v>213</v>
      </c>
      <c r="G184" s="1662" t="s">
        <v>1</v>
      </c>
      <c r="H184" s="1682">
        <f>383.2+723.087</f>
        <v>1106.287</v>
      </c>
      <c r="I184" s="529"/>
      <c r="J184" s="269"/>
      <c r="K184" s="1858"/>
      <c r="L184" s="1858"/>
      <c r="M184" s="1858"/>
      <c r="N184" s="1200">
        <f>388.9+5.7-11.4+565.122</f>
        <v>948.32199999999989</v>
      </c>
      <c r="O184" s="1858"/>
      <c r="P184" s="1858"/>
      <c r="Q184" s="1858"/>
      <c r="R184" s="1858"/>
      <c r="S184" s="1858"/>
      <c r="T184" s="1858"/>
      <c r="U184" s="1682">
        <v>383.2</v>
      </c>
      <c r="AA184" s="1">
        <v>5.7</v>
      </c>
      <c r="AB184" s="1">
        <v>383.2</v>
      </c>
    </row>
    <row r="185" spans="1:28" ht="31.5" x14ac:dyDescent="0.25">
      <c r="A185" s="1179"/>
      <c r="B185" s="1205" t="s">
        <v>837</v>
      </c>
      <c r="C185" s="1217"/>
      <c r="D185" s="1217" t="s">
        <v>452</v>
      </c>
      <c r="E185" s="1217" t="s">
        <v>539</v>
      </c>
      <c r="F185" s="409" t="s">
        <v>204</v>
      </c>
      <c r="G185" s="1662"/>
      <c r="H185" s="1682">
        <f>H186</f>
        <v>365.678</v>
      </c>
      <c r="I185" s="529">
        <f>I186</f>
        <v>0</v>
      </c>
      <c r="J185" s="269">
        <f>J186</f>
        <v>0</v>
      </c>
      <c r="K185" s="1858"/>
      <c r="L185" s="1858"/>
      <c r="M185" s="1858"/>
      <c r="N185" s="1200">
        <f>N186</f>
        <v>531.37799999999993</v>
      </c>
      <c r="O185" s="1858"/>
      <c r="P185" s="1858"/>
      <c r="Q185" s="1858"/>
      <c r="R185" s="1858"/>
      <c r="S185" s="1858"/>
      <c r="T185" s="1858"/>
      <c r="U185" s="1682">
        <f>U186</f>
        <v>1210</v>
      </c>
    </row>
    <row r="186" spans="1:28" x14ac:dyDescent="0.25">
      <c r="A186" s="1179"/>
      <c r="B186" s="1197" t="s">
        <v>203</v>
      </c>
      <c r="C186" s="1217"/>
      <c r="D186" s="1217" t="s">
        <v>452</v>
      </c>
      <c r="E186" s="1217" t="s">
        <v>539</v>
      </c>
      <c r="F186" s="1217" t="s">
        <v>202</v>
      </c>
      <c r="G186" s="1662"/>
      <c r="H186" s="1682">
        <f>H187+H189</f>
        <v>365.678</v>
      </c>
      <c r="I186" s="529">
        <f>I187+I189</f>
        <v>0</v>
      </c>
      <c r="J186" s="269">
        <f>J187+J189</f>
        <v>0</v>
      </c>
      <c r="K186" s="1858"/>
      <c r="L186" s="1858"/>
      <c r="M186" s="1858"/>
      <c r="N186" s="1200">
        <f>N187+N189</f>
        <v>531.37799999999993</v>
      </c>
      <c r="O186" s="1858"/>
      <c r="P186" s="1858"/>
      <c r="Q186" s="1858"/>
      <c r="R186" s="1858"/>
      <c r="S186" s="1858"/>
      <c r="T186" s="1858"/>
      <c r="U186" s="1682">
        <f>U187+U189</f>
        <v>1210</v>
      </c>
    </row>
    <row r="187" spans="1:28" hidden="1" x14ac:dyDescent="0.25">
      <c r="A187" s="1179"/>
      <c r="B187" s="1197" t="s">
        <v>619</v>
      </c>
      <c r="C187" s="1217"/>
      <c r="D187" s="1217" t="s">
        <v>452</v>
      </c>
      <c r="E187" s="1217" t="s">
        <v>539</v>
      </c>
      <c r="F187" s="1217" t="s">
        <v>200</v>
      </c>
      <c r="G187" s="1662"/>
      <c r="H187" s="1682">
        <f>H188</f>
        <v>0</v>
      </c>
      <c r="I187" s="529">
        <f>I188</f>
        <v>0</v>
      </c>
      <c r="J187" s="269">
        <f>J188</f>
        <v>0</v>
      </c>
      <c r="K187" s="1858"/>
      <c r="L187" s="1858"/>
      <c r="M187" s="1858"/>
      <c r="N187" s="1200">
        <f>N188</f>
        <v>0</v>
      </c>
      <c r="O187" s="1858"/>
      <c r="P187" s="1858"/>
      <c r="Q187" s="1858"/>
      <c r="R187" s="1858"/>
      <c r="S187" s="1858"/>
      <c r="T187" s="1858"/>
      <c r="U187" s="1682">
        <f>U188</f>
        <v>0</v>
      </c>
    </row>
    <row r="188" spans="1:28" ht="21" hidden="1" x14ac:dyDescent="0.25">
      <c r="A188" s="1179"/>
      <c r="B188" s="1182" t="s">
        <v>454</v>
      </c>
      <c r="C188" s="1217"/>
      <c r="D188" s="1217" t="s">
        <v>452</v>
      </c>
      <c r="E188" s="1217" t="s">
        <v>539</v>
      </c>
      <c r="F188" s="1217" t="s">
        <v>200</v>
      </c>
      <c r="G188" s="1662" t="s">
        <v>1</v>
      </c>
      <c r="H188" s="1682"/>
      <c r="I188" s="529"/>
      <c r="J188" s="269"/>
      <c r="K188" s="1858"/>
      <c r="L188" s="1858"/>
      <c r="M188" s="1858"/>
      <c r="N188" s="1200"/>
      <c r="O188" s="1858"/>
      <c r="P188" s="1858"/>
      <c r="Q188" s="1858"/>
      <c r="R188" s="1858"/>
      <c r="S188" s="1858"/>
      <c r="T188" s="1858"/>
      <c r="U188" s="1682"/>
      <c r="V188" s="1">
        <v>750</v>
      </c>
    </row>
    <row r="189" spans="1:28" ht="21" x14ac:dyDescent="0.25">
      <c r="A189" s="1179"/>
      <c r="B189" s="1197" t="s">
        <v>199</v>
      </c>
      <c r="C189" s="1217"/>
      <c r="D189" s="1217" t="s">
        <v>452</v>
      </c>
      <c r="E189" s="1217" t="s">
        <v>539</v>
      </c>
      <c r="F189" s="1217" t="s">
        <v>198</v>
      </c>
      <c r="G189" s="1662"/>
      <c r="H189" s="1682">
        <f>H191</f>
        <v>365.678</v>
      </c>
      <c r="I189" s="529">
        <f>I191</f>
        <v>0</v>
      </c>
      <c r="J189" s="269">
        <f>J191</f>
        <v>0</v>
      </c>
      <c r="K189" s="1858"/>
      <c r="L189" s="1858"/>
      <c r="M189" s="1858"/>
      <c r="N189" s="1200">
        <f>N191</f>
        <v>531.37799999999993</v>
      </c>
      <c r="O189" s="1858"/>
      <c r="P189" s="1858"/>
      <c r="Q189" s="1858"/>
      <c r="R189" s="1858"/>
      <c r="S189" s="1858"/>
      <c r="T189" s="1858"/>
      <c r="U189" s="1682">
        <f>U191</f>
        <v>1210</v>
      </c>
    </row>
    <row r="190" spans="1:28" x14ac:dyDescent="0.25">
      <c r="A190" s="1179"/>
      <c r="B190" s="753" t="s">
        <v>948</v>
      </c>
      <c r="C190" s="1217"/>
      <c r="D190" s="1217" t="s">
        <v>452</v>
      </c>
      <c r="E190" s="1217" t="s">
        <v>539</v>
      </c>
      <c r="F190" s="1217" t="s">
        <v>198</v>
      </c>
      <c r="G190" s="1662" t="s">
        <v>955</v>
      </c>
      <c r="H190" s="1682">
        <f t="shared" ref="H190:U190" si="37">H191</f>
        <v>365.678</v>
      </c>
      <c r="I190" s="529">
        <f t="shared" si="37"/>
        <v>0</v>
      </c>
      <c r="J190" s="269">
        <f t="shared" si="37"/>
        <v>0</v>
      </c>
      <c r="K190" s="1858">
        <f t="shared" si="37"/>
        <v>0</v>
      </c>
      <c r="L190" s="1858">
        <f t="shared" si="37"/>
        <v>0</v>
      </c>
      <c r="M190" s="1858">
        <f t="shared" si="37"/>
        <v>0</v>
      </c>
      <c r="N190" s="1200">
        <f t="shared" si="37"/>
        <v>531.37799999999993</v>
      </c>
      <c r="O190" s="1858">
        <f t="shared" si="37"/>
        <v>0</v>
      </c>
      <c r="P190" s="1858">
        <f t="shared" si="37"/>
        <v>0</v>
      </c>
      <c r="Q190" s="1858">
        <f t="shared" si="37"/>
        <v>0</v>
      </c>
      <c r="R190" s="1858">
        <f t="shared" si="37"/>
        <v>0</v>
      </c>
      <c r="S190" s="1858">
        <f t="shared" si="37"/>
        <v>0</v>
      </c>
      <c r="T190" s="1858">
        <f t="shared" si="37"/>
        <v>0</v>
      </c>
      <c r="U190" s="1682">
        <f t="shared" si="37"/>
        <v>1210</v>
      </c>
    </row>
    <row r="191" spans="1:28" ht="21" x14ac:dyDescent="0.25">
      <c r="A191" s="1179"/>
      <c r="B191" s="1182" t="s">
        <v>454</v>
      </c>
      <c r="C191" s="1217"/>
      <c r="D191" s="1217" t="s">
        <v>452</v>
      </c>
      <c r="E191" s="1217" t="s">
        <v>539</v>
      </c>
      <c r="F191" s="1217" t="s">
        <v>198</v>
      </c>
      <c r="G191" s="1662" t="s">
        <v>1</v>
      </c>
      <c r="H191" s="1682">
        <f>359.978+5.7</f>
        <v>365.678</v>
      </c>
      <c r="I191" s="529"/>
      <c r="J191" s="269"/>
      <c r="K191" s="1858"/>
      <c r="L191" s="1858"/>
      <c r="M191" s="1858"/>
      <c r="N191" s="1200">
        <f>519.978+11.4</f>
        <v>531.37799999999993</v>
      </c>
      <c r="O191" s="1858"/>
      <c r="P191" s="1858"/>
      <c r="Q191" s="1858"/>
      <c r="R191" s="1858"/>
      <c r="S191" s="1858"/>
      <c r="T191" s="1858"/>
      <c r="U191" s="1682">
        <f>410+800</f>
        <v>1210</v>
      </c>
      <c r="V191" s="1">
        <v>440</v>
      </c>
      <c r="W191" s="1">
        <v>460</v>
      </c>
      <c r="X191" s="1">
        <v>520</v>
      </c>
    </row>
    <row r="192" spans="1:28" ht="31.5" hidden="1" x14ac:dyDescent="0.25">
      <c r="A192" s="842"/>
      <c r="B192" s="1230" t="s">
        <v>557</v>
      </c>
      <c r="C192" s="408"/>
      <c r="D192" s="408" t="s">
        <v>452</v>
      </c>
      <c r="E192" s="408" t="s">
        <v>539</v>
      </c>
      <c r="F192" s="408" t="s">
        <v>556</v>
      </c>
      <c r="G192" s="1661"/>
      <c r="H192" s="1683">
        <f>H193</f>
        <v>0</v>
      </c>
      <c r="I192" s="841">
        <f>I193</f>
        <v>0</v>
      </c>
      <c r="J192" s="276">
        <f>J193</f>
        <v>0</v>
      </c>
      <c r="K192" s="1858"/>
      <c r="L192" s="1858"/>
      <c r="M192" s="1858"/>
      <c r="N192" s="1208">
        <f>N193</f>
        <v>0</v>
      </c>
      <c r="O192" s="1858"/>
      <c r="P192" s="1858"/>
      <c r="Q192" s="1858"/>
      <c r="R192" s="1858"/>
      <c r="S192" s="1858"/>
      <c r="T192" s="1858"/>
      <c r="U192" s="1683">
        <f>U193</f>
        <v>0</v>
      </c>
    </row>
    <row r="193" spans="1:21" ht="21" hidden="1" x14ac:dyDescent="0.25">
      <c r="A193" s="1179"/>
      <c r="B193" s="1219" t="s">
        <v>555</v>
      </c>
      <c r="C193" s="1217"/>
      <c r="D193" s="1217" t="s">
        <v>452</v>
      </c>
      <c r="E193" s="1217" t="s">
        <v>539</v>
      </c>
      <c r="F193" s="1217" t="s">
        <v>554</v>
      </c>
      <c r="G193" s="1664"/>
      <c r="H193" s="1682">
        <f>H194+H197</f>
        <v>0</v>
      </c>
      <c r="I193" s="529">
        <f>I194+I197</f>
        <v>0</v>
      </c>
      <c r="J193" s="269">
        <f>J194+J197</f>
        <v>0</v>
      </c>
      <c r="K193" s="1858"/>
      <c r="L193" s="1858"/>
      <c r="M193" s="1858"/>
      <c r="N193" s="1200">
        <f>N194+N197</f>
        <v>0</v>
      </c>
      <c r="O193" s="1858"/>
      <c r="P193" s="1858"/>
      <c r="Q193" s="1858"/>
      <c r="R193" s="1858"/>
      <c r="S193" s="1858"/>
      <c r="T193" s="1858"/>
      <c r="U193" s="1682">
        <f>U194+U197</f>
        <v>0</v>
      </c>
    </row>
    <row r="194" spans="1:21" ht="31.5" hidden="1" x14ac:dyDescent="0.25">
      <c r="A194" s="1179"/>
      <c r="B194" s="1219" t="s">
        <v>553</v>
      </c>
      <c r="C194" s="1217"/>
      <c r="D194" s="1217" t="s">
        <v>452</v>
      </c>
      <c r="E194" s="1217" t="s">
        <v>539</v>
      </c>
      <c r="F194" s="1217" t="s">
        <v>552</v>
      </c>
      <c r="G194" s="1664"/>
      <c r="H194" s="1682">
        <f t="shared" ref="H194:J195" si="38">H195</f>
        <v>0</v>
      </c>
      <c r="I194" s="529">
        <f t="shared" si="38"/>
        <v>0</v>
      </c>
      <c r="J194" s="269">
        <f t="shared" si="38"/>
        <v>0</v>
      </c>
      <c r="K194" s="1858"/>
      <c r="L194" s="1858"/>
      <c r="M194" s="1858"/>
      <c r="N194" s="1200">
        <f t="shared" ref="N194:N195" si="39">N195</f>
        <v>0</v>
      </c>
      <c r="O194" s="1858"/>
      <c r="P194" s="1858"/>
      <c r="Q194" s="1858"/>
      <c r="R194" s="1858"/>
      <c r="S194" s="1858"/>
      <c r="T194" s="1858"/>
      <c r="U194" s="1682">
        <f t="shared" ref="U194:U195" si="40">U195</f>
        <v>0</v>
      </c>
    </row>
    <row r="195" spans="1:21" ht="31.5" hidden="1" x14ac:dyDescent="0.25">
      <c r="A195" s="1179"/>
      <c r="B195" s="753" t="s">
        <v>551</v>
      </c>
      <c r="C195" s="1217"/>
      <c r="D195" s="1217" t="s">
        <v>452</v>
      </c>
      <c r="E195" s="1217" t="s">
        <v>539</v>
      </c>
      <c r="F195" s="1217" t="s">
        <v>550</v>
      </c>
      <c r="G195" s="1664"/>
      <c r="H195" s="1682">
        <f t="shared" si="38"/>
        <v>0</v>
      </c>
      <c r="I195" s="529">
        <f t="shared" si="38"/>
        <v>0</v>
      </c>
      <c r="J195" s="269">
        <f t="shared" si="38"/>
        <v>0</v>
      </c>
      <c r="K195" s="1858"/>
      <c r="L195" s="1858"/>
      <c r="M195" s="1858"/>
      <c r="N195" s="1200">
        <f t="shared" si="39"/>
        <v>0</v>
      </c>
      <c r="O195" s="1858"/>
      <c r="P195" s="1858"/>
      <c r="Q195" s="1858"/>
      <c r="R195" s="1858"/>
      <c r="S195" s="1858"/>
      <c r="T195" s="1858"/>
      <c r="U195" s="1682">
        <f t="shared" si="40"/>
        <v>0</v>
      </c>
    </row>
    <row r="196" spans="1:21" hidden="1" x14ac:dyDescent="0.25">
      <c r="A196" s="1179"/>
      <c r="B196" s="1182" t="s">
        <v>481</v>
      </c>
      <c r="C196" s="1217"/>
      <c r="D196" s="1217" t="s">
        <v>452</v>
      </c>
      <c r="E196" s="1217" t="s">
        <v>539</v>
      </c>
      <c r="F196" s="1217" t="s">
        <v>550</v>
      </c>
      <c r="G196" s="1662" t="s">
        <v>26</v>
      </c>
      <c r="H196" s="1682">
        <v>0</v>
      </c>
      <c r="I196" s="529">
        <v>0</v>
      </c>
      <c r="J196" s="269">
        <v>0</v>
      </c>
      <c r="K196" s="1858"/>
      <c r="L196" s="1858"/>
      <c r="M196" s="1858"/>
      <c r="N196" s="1200">
        <v>0</v>
      </c>
      <c r="O196" s="1858"/>
      <c r="P196" s="1858"/>
      <c r="Q196" s="1858"/>
      <c r="R196" s="1858"/>
      <c r="S196" s="1858"/>
      <c r="T196" s="1858"/>
      <c r="U196" s="1682">
        <v>0</v>
      </c>
    </row>
    <row r="197" spans="1:21" ht="42" hidden="1" x14ac:dyDescent="0.25">
      <c r="A197" s="1179"/>
      <c r="B197" s="1219" t="s">
        <v>549</v>
      </c>
      <c r="C197" s="1217"/>
      <c r="D197" s="1217" t="s">
        <v>548</v>
      </c>
      <c r="E197" s="1217" t="s">
        <v>539</v>
      </c>
      <c r="F197" s="1217" t="s">
        <v>547</v>
      </c>
      <c r="G197" s="1664"/>
      <c r="H197" s="1682">
        <f>H198+H200+H202</f>
        <v>0</v>
      </c>
      <c r="I197" s="529">
        <f>I198+I200+I202</f>
        <v>0</v>
      </c>
      <c r="J197" s="269">
        <f>J198+J200+J202</f>
        <v>0</v>
      </c>
      <c r="K197" s="1858"/>
      <c r="L197" s="1858"/>
      <c r="M197" s="1858"/>
      <c r="N197" s="1200">
        <f>N198+N200+N202</f>
        <v>0</v>
      </c>
      <c r="O197" s="1858"/>
      <c r="P197" s="1858"/>
      <c r="Q197" s="1858"/>
      <c r="R197" s="1858"/>
      <c r="S197" s="1858"/>
      <c r="T197" s="1858"/>
      <c r="U197" s="1682">
        <f>U198+U200+U202</f>
        <v>0</v>
      </c>
    </row>
    <row r="198" spans="1:21" ht="21" hidden="1" x14ac:dyDescent="0.25">
      <c r="A198" s="1179"/>
      <c r="B198" s="753" t="s">
        <v>546</v>
      </c>
      <c r="C198" s="1217"/>
      <c r="D198" s="1217" t="s">
        <v>452</v>
      </c>
      <c r="E198" s="1217" t="s">
        <v>539</v>
      </c>
      <c r="F198" s="1217" t="s">
        <v>545</v>
      </c>
      <c r="G198" s="1664"/>
      <c r="H198" s="1682">
        <f>H199</f>
        <v>0</v>
      </c>
      <c r="I198" s="529">
        <f>I199</f>
        <v>0</v>
      </c>
      <c r="J198" s="269">
        <f>J199</f>
        <v>0</v>
      </c>
      <c r="K198" s="1858"/>
      <c r="L198" s="1858"/>
      <c r="M198" s="1858"/>
      <c r="N198" s="1200">
        <f>N199</f>
        <v>0</v>
      </c>
      <c r="O198" s="1858"/>
      <c r="P198" s="1858"/>
      <c r="Q198" s="1858"/>
      <c r="R198" s="1858"/>
      <c r="S198" s="1858"/>
      <c r="T198" s="1858"/>
      <c r="U198" s="1682">
        <f>U199</f>
        <v>0</v>
      </c>
    </row>
    <row r="199" spans="1:21" ht="21" hidden="1" x14ac:dyDescent="0.25">
      <c r="A199" s="1179"/>
      <c r="B199" s="1182" t="s">
        <v>454</v>
      </c>
      <c r="C199" s="1217"/>
      <c r="D199" s="1217" t="s">
        <v>452</v>
      </c>
      <c r="E199" s="1217" t="s">
        <v>539</v>
      </c>
      <c r="F199" s="1217" t="s">
        <v>545</v>
      </c>
      <c r="G199" s="1662" t="s">
        <v>1</v>
      </c>
      <c r="H199" s="1682"/>
      <c r="I199" s="529"/>
      <c r="J199" s="269"/>
      <c r="K199" s="1858"/>
      <c r="L199" s="1858"/>
      <c r="M199" s="1858"/>
      <c r="N199" s="1200"/>
      <c r="O199" s="1858"/>
      <c r="P199" s="1858"/>
      <c r="Q199" s="1858"/>
      <c r="R199" s="1858"/>
      <c r="S199" s="1858"/>
      <c r="T199" s="1858"/>
      <c r="U199" s="1682"/>
    </row>
    <row r="200" spans="1:21" ht="31.5" hidden="1" x14ac:dyDescent="0.25">
      <c r="A200" s="1229"/>
      <c r="B200" s="753" t="s">
        <v>544</v>
      </c>
      <c r="C200" s="1217"/>
      <c r="D200" s="1217" t="s">
        <v>452</v>
      </c>
      <c r="E200" s="1217" t="s">
        <v>539</v>
      </c>
      <c r="F200" s="1217" t="s">
        <v>543</v>
      </c>
      <c r="G200" s="1664"/>
      <c r="H200" s="1682">
        <f>H201</f>
        <v>0</v>
      </c>
      <c r="I200" s="529">
        <f>I201</f>
        <v>0</v>
      </c>
      <c r="J200" s="269">
        <f>J201</f>
        <v>0</v>
      </c>
      <c r="K200" s="1858"/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1" hidden="1" x14ac:dyDescent="0.25">
      <c r="A201" s="1229"/>
      <c r="B201" s="1182" t="s">
        <v>454</v>
      </c>
      <c r="C201" s="1217"/>
      <c r="D201" s="1217" t="s">
        <v>452</v>
      </c>
      <c r="E201" s="1217" t="s">
        <v>539</v>
      </c>
      <c r="F201" s="1217" t="s">
        <v>543</v>
      </c>
      <c r="G201" s="1662" t="s">
        <v>1</v>
      </c>
      <c r="H201" s="1682"/>
      <c r="I201" s="529"/>
      <c r="J201" s="269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1.5" hidden="1" x14ac:dyDescent="0.25">
      <c r="A202" s="1229"/>
      <c r="B202" s="753" t="s">
        <v>542</v>
      </c>
      <c r="C202" s="1217"/>
      <c r="D202" s="1217" t="s">
        <v>452</v>
      </c>
      <c r="E202" s="1217" t="s">
        <v>539</v>
      </c>
      <c r="F202" s="1217" t="s">
        <v>541</v>
      </c>
      <c r="G202" s="1664"/>
      <c r="H202" s="1682">
        <f>H203</f>
        <v>0</v>
      </c>
      <c r="I202" s="529">
        <f>I203</f>
        <v>0</v>
      </c>
      <c r="J202" s="269">
        <f>J203</f>
        <v>0</v>
      </c>
      <c r="K202" s="1858"/>
      <c r="L202" s="1858"/>
      <c r="M202" s="1858"/>
      <c r="N202" s="1200">
        <f>N203</f>
        <v>0</v>
      </c>
      <c r="O202" s="1858"/>
      <c r="P202" s="1858"/>
      <c r="Q202" s="1858"/>
      <c r="R202" s="1858"/>
      <c r="S202" s="1858"/>
      <c r="T202" s="1858"/>
      <c r="U202" s="1682">
        <f>U203</f>
        <v>0</v>
      </c>
    </row>
    <row r="203" spans="1:21" ht="21" hidden="1" x14ac:dyDescent="0.25">
      <c r="A203" s="1229"/>
      <c r="B203" s="1182" t="s">
        <v>454</v>
      </c>
      <c r="C203" s="1217"/>
      <c r="D203" s="1217" t="s">
        <v>452</v>
      </c>
      <c r="E203" s="1217" t="s">
        <v>539</v>
      </c>
      <c r="F203" s="1217" t="s">
        <v>541</v>
      </c>
      <c r="G203" s="1662" t="s">
        <v>1</v>
      </c>
      <c r="H203" s="1682"/>
      <c r="I203" s="529"/>
      <c r="J203" s="269"/>
      <c r="K203" s="1858"/>
      <c r="L203" s="1858"/>
      <c r="M203" s="1858"/>
      <c r="N203" s="1200"/>
      <c r="O203" s="1858"/>
      <c r="P203" s="1858"/>
      <c r="Q203" s="1858"/>
      <c r="R203" s="1858"/>
      <c r="S203" s="1858"/>
      <c r="T203" s="1858"/>
      <c r="U203" s="1682"/>
    </row>
    <row r="204" spans="1:21" ht="21" hidden="1" x14ac:dyDescent="0.25">
      <c r="A204" s="1211"/>
      <c r="B204" s="753" t="s">
        <v>499</v>
      </c>
      <c r="C204" s="1177"/>
      <c r="D204" s="409" t="s">
        <v>452</v>
      </c>
      <c r="E204" s="409" t="s">
        <v>539</v>
      </c>
      <c r="F204" s="409" t="s">
        <v>89</v>
      </c>
      <c r="G204" s="1662"/>
      <c r="H204" s="1682">
        <f t="shared" ref="H204:J207" si="41">H205</f>
        <v>0</v>
      </c>
      <c r="I204" s="841">
        <f t="shared" si="41"/>
        <v>0</v>
      </c>
      <c r="J204" s="276">
        <f t="shared" si="41"/>
        <v>0</v>
      </c>
      <c r="K204" s="1858"/>
      <c r="L204" s="1858"/>
      <c r="M204" s="1858"/>
      <c r="N204" s="1200">
        <f t="shared" ref="N204:N207" si="42">N205</f>
        <v>0</v>
      </c>
      <c r="O204" s="1858"/>
      <c r="P204" s="1858"/>
      <c r="Q204" s="1858"/>
      <c r="R204" s="1858"/>
      <c r="S204" s="1858"/>
      <c r="T204" s="1858"/>
      <c r="U204" s="1682">
        <f t="shared" ref="U204:U207" si="43">U205</f>
        <v>0</v>
      </c>
    </row>
    <row r="205" spans="1:21" hidden="1" x14ac:dyDescent="0.25">
      <c r="A205" s="842"/>
      <c r="B205" s="753" t="s">
        <v>109</v>
      </c>
      <c r="C205" s="1177"/>
      <c r="D205" s="409" t="s">
        <v>452</v>
      </c>
      <c r="E205" s="409" t="s">
        <v>539</v>
      </c>
      <c r="F205" s="409" t="s">
        <v>84</v>
      </c>
      <c r="G205" s="1662"/>
      <c r="H205" s="1682">
        <f t="shared" si="41"/>
        <v>0</v>
      </c>
      <c r="I205" s="841">
        <f t="shared" si="41"/>
        <v>0</v>
      </c>
      <c r="J205" s="276">
        <f t="shared" si="41"/>
        <v>0</v>
      </c>
      <c r="K205" s="1858"/>
      <c r="L205" s="1858"/>
      <c r="M205" s="1858"/>
      <c r="N205" s="1200">
        <f t="shared" si="42"/>
        <v>0</v>
      </c>
      <c r="O205" s="1858"/>
      <c r="P205" s="1858"/>
      <c r="Q205" s="1858"/>
      <c r="R205" s="1858"/>
      <c r="S205" s="1858"/>
      <c r="T205" s="1858"/>
      <c r="U205" s="1682">
        <f t="shared" si="43"/>
        <v>0</v>
      </c>
    </row>
    <row r="206" spans="1:21" hidden="1" x14ac:dyDescent="0.25">
      <c r="A206" s="842"/>
      <c r="B206" s="753" t="s">
        <v>109</v>
      </c>
      <c r="C206" s="1177"/>
      <c r="D206" s="409" t="s">
        <v>452</v>
      </c>
      <c r="E206" s="409" t="s">
        <v>539</v>
      </c>
      <c r="F206" s="409" t="s">
        <v>82</v>
      </c>
      <c r="G206" s="1662"/>
      <c r="H206" s="1682">
        <f>H207</f>
        <v>0</v>
      </c>
      <c r="I206" s="841">
        <f t="shared" si="41"/>
        <v>0</v>
      </c>
      <c r="J206" s="276">
        <f t="shared" si="41"/>
        <v>0</v>
      </c>
      <c r="K206" s="1858">
        <v>388.9</v>
      </c>
      <c r="L206" s="1858"/>
      <c r="M206" s="1858"/>
      <c r="N206" s="1200">
        <f>N207</f>
        <v>0</v>
      </c>
      <c r="O206" s="1858"/>
      <c r="P206" s="1858"/>
      <c r="Q206" s="1858"/>
      <c r="R206" s="1858"/>
      <c r="S206" s="1858"/>
      <c r="T206" s="1858"/>
      <c r="U206" s="1682">
        <f>U207</f>
        <v>0</v>
      </c>
    </row>
    <row r="207" spans="1:21" ht="21" hidden="1" x14ac:dyDescent="0.25">
      <c r="A207" s="1229"/>
      <c r="B207" s="1481" t="s">
        <v>967</v>
      </c>
      <c r="C207" s="409"/>
      <c r="D207" s="409" t="s">
        <v>452</v>
      </c>
      <c r="E207" s="409" t="s">
        <v>539</v>
      </c>
      <c r="F207" s="1231" t="s">
        <v>965</v>
      </c>
      <c r="G207" s="1662"/>
      <c r="H207" s="1682">
        <f t="shared" si="41"/>
        <v>0</v>
      </c>
      <c r="I207" s="529">
        <f t="shared" si="41"/>
        <v>0</v>
      </c>
      <c r="J207" s="269">
        <f t="shared" si="41"/>
        <v>0</v>
      </c>
      <c r="K207" s="1858"/>
      <c r="L207" s="1858"/>
      <c r="M207" s="1858"/>
      <c r="N207" s="1200">
        <f t="shared" si="42"/>
        <v>0</v>
      </c>
      <c r="O207" s="1858"/>
      <c r="P207" s="1858"/>
      <c r="Q207" s="1858"/>
      <c r="R207" s="1858"/>
      <c r="S207" s="1858"/>
      <c r="T207" s="1858"/>
      <c r="U207" s="1682">
        <f t="shared" si="43"/>
        <v>0</v>
      </c>
    </row>
    <row r="208" spans="1:21" ht="21" hidden="1" x14ac:dyDescent="0.25">
      <c r="A208" s="1229"/>
      <c r="B208" s="1182" t="s">
        <v>454</v>
      </c>
      <c r="C208" s="1217"/>
      <c r="D208" s="1217" t="s">
        <v>452</v>
      </c>
      <c r="E208" s="1217" t="s">
        <v>539</v>
      </c>
      <c r="F208" s="1231" t="s">
        <v>965</v>
      </c>
      <c r="G208" s="1662" t="s">
        <v>1</v>
      </c>
      <c r="H208" s="1682"/>
      <c r="I208" s="529"/>
      <c r="J208" s="269"/>
      <c r="K208" s="1858">
        <v>388.9</v>
      </c>
      <c r="L208" s="1858"/>
      <c r="M208" s="1858"/>
      <c r="N208" s="1200"/>
      <c r="O208" s="1858"/>
      <c r="P208" s="1858"/>
      <c r="Q208" s="1858"/>
      <c r="R208" s="1858"/>
      <c r="S208" s="1858"/>
      <c r="T208" s="1858"/>
      <c r="U208" s="1682"/>
    </row>
    <row r="209" spans="1:21" x14ac:dyDescent="0.25">
      <c r="A209" s="1229"/>
      <c r="B209" s="1225" t="s">
        <v>51</v>
      </c>
      <c r="C209" s="1227"/>
      <c r="D209" s="1227" t="s">
        <v>452</v>
      </c>
      <c r="E209" s="1227" t="s">
        <v>534</v>
      </c>
      <c r="F209" s="1227"/>
      <c r="G209" s="1665"/>
      <c r="H209" s="1684">
        <f>H210+H215</f>
        <v>3545.3950199999999</v>
      </c>
      <c r="I209" s="853">
        <f>I210+I215</f>
        <v>0</v>
      </c>
      <c r="J209" s="400">
        <f>J210+J215</f>
        <v>0</v>
      </c>
      <c r="K209" s="1858"/>
      <c r="L209" s="1858"/>
      <c r="M209" s="1858"/>
      <c r="N209" s="1228">
        <f>N210+N215</f>
        <v>2882.2280000000001</v>
      </c>
      <c r="O209" s="1858"/>
      <c r="P209" s="1858"/>
      <c r="Q209" s="1858"/>
      <c r="R209" s="1858"/>
      <c r="S209" s="1858"/>
      <c r="T209" s="1858"/>
      <c r="U209" s="1684">
        <f>U210+U215</f>
        <v>1861.232</v>
      </c>
    </row>
    <row r="210" spans="1:21" ht="31.5" x14ac:dyDescent="0.25">
      <c r="A210" s="1179"/>
      <c r="B210" s="1205" t="s">
        <v>907</v>
      </c>
      <c r="C210" s="409"/>
      <c r="D210" s="409" t="s">
        <v>452</v>
      </c>
      <c r="E210" s="409" t="s">
        <v>534</v>
      </c>
      <c r="F210" s="409" t="s">
        <v>292</v>
      </c>
      <c r="G210" s="1662"/>
      <c r="H210" s="1682">
        <f t="shared" ref="H210:J211" si="44">H211</f>
        <v>330</v>
      </c>
      <c r="I210" s="529">
        <f t="shared" si="44"/>
        <v>0</v>
      </c>
      <c r="J210" s="270">
        <f t="shared" si="44"/>
        <v>0</v>
      </c>
      <c r="K210" s="1862">
        <f>330</f>
        <v>330</v>
      </c>
      <c r="L210" s="1858"/>
      <c r="M210" s="1858"/>
      <c r="N210" s="1200">
        <f t="shared" ref="N210:N211" si="45">N211</f>
        <v>350</v>
      </c>
      <c r="O210" s="1858"/>
      <c r="P210" s="1858"/>
      <c r="Q210" s="1858"/>
      <c r="R210" s="1858"/>
      <c r="S210" s="1858"/>
      <c r="T210" s="1858"/>
      <c r="U210" s="1682">
        <f t="shared" ref="U210:U211" si="46">U211</f>
        <v>370</v>
      </c>
    </row>
    <row r="211" spans="1:21" ht="31.5" x14ac:dyDescent="0.25">
      <c r="A211" s="1179"/>
      <c r="B211" s="1197" t="s">
        <v>289</v>
      </c>
      <c r="C211" s="409"/>
      <c r="D211" s="409" t="s">
        <v>452</v>
      </c>
      <c r="E211" s="409" t="s">
        <v>534</v>
      </c>
      <c r="F211" s="409" t="s">
        <v>286</v>
      </c>
      <c r="G211" s="1662"/>
      <c r="H211" s="1682">
        <f t="shared" si="44"/>
        <v>330</v>
      </c>
      <c r="I211" s="529">
        <f t="shared" si="44"/>
        <v>0</v>
      </c>
      <c r="J211" s="270">
        <f t="shared" si="44"/>
        <v>0</v>
      </c>
      <c r="K211" s="1858"/>
      <c r="L211" s="1858"/>
      <c r="M211" s="1858"/>
      <c r="N211" s="1200">
        <f t="shared" si="45"/>
        <v>350</v>
      </c>
      <c r="O211" s="1858"/>
      <c r="P211" s="1858"/>
      <c r="Q211" s="1858"/>
      <c r="R211" s="1858"/>
      <c r="S211" s="1858"/>
      <c r="T211" s="1858"/>
      <c r="U211" s="1682">
        <f t="shared" si="46"/>
        <v>370</v>
      </c>
    </row>
    <row r="212" spans="1:21" ht="21" x14ac:dyDescent="0.25">
      <c r="A212" s="1179"/>
      <c r="B212" s="1232" t="s">
        <v>287</v>
      </c>
      <c r="C212" s="1217"/>
      <c r="D212" s="1217" t="s">
        <v>452</v>
      </c>
      <c r="E212" s="1217" t="s">
        <v>534</v>
      </c>
      <c r="F212" s="1217" t="s">
        <v>275</v>
      </c>
      <c r="G212" s="1664"/>
      <c r="H212" s="1682">
        <f>H214</f>
        <v>330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350</v>
      </c>
      <c r="O212" s="1858"/>
      <c r="P212" s="1858"/>
      <c r="Q212" s="1858"/>
      <c r="R212" s="1858"/>
      <c r="S212" s="1858"/>
      <c r="T212" s="1858"/>
      <c r="U212" s="1682">
        <f>U214</f>
        <v>370</v>
      </c>
    </row>
    <row r="213" spans="1:21" x14ac:dyDescent="0.25">
      <c r="A213" s="1179"/>
      <c r="B213" s="753" t="s">
        <v>948</v>
      </c>
      <c r="C213" s="1217"/>
      <c r="D213" s="1217" t="s">
        <v>452</v>
      </c>
      <c r="E213" s="1217" t="s">
        <v>534</v>
      </c>
      <c r="F213" s="1217" t="s">
        <v>275</v>
      </c>
      <c r="G213" s="1664" t="s">
        <v>955</v>
      </c>
      <c r="H213" s="1682">
        <f t="shared" ref="H213:U213" si="47">H214</f>
        <v>330</v>
      </c>
      <c r="I213" s="529">
        <f t="shared" si="47"/>
        <v>0</v>
      </c>
      <c r="J213" s="404">
        <f t="shared" si="47"/>
        <v>0</v>
      </c>
      <c r="K213" s="1858">
        <f t="shared" si="47"/>
        <v>0</v>
      </c>
      <c r="L213" s="1858">
        <f t="shared" si="47"/>
        <v>0</v>
      </c>
      <c r="M213" s="1858">
        <f t="shared" si="47"/>
        <v>0</v>
      </c>
      <c r="N213" s="1200">
        <f t="shared" si="47"/>
        <v>350</v>
      </c>
      <c r="O213" s="1858">
        <f t="shared" si="47"/>
        <v>0</v>
      </c>
      <c r="P213" s="1858">
        <f t="shared" si="47"/>
        <v>0</v>
      </c>
      <c r="Q213" s="1858">
        <f t="shared" si="47"/>
        <v>0</v>
      </c>
      <c r="R213" s="1858">
        <f t="shared" si="47"/>
        <v>0</v>
      </c>
      <c r="S213" s="1858">
        <f t="shared" si="47"/>
        <v>0</v>
      </c>
      <c r="T213" s="1858">
        <f t="shared" si="47"/>
        <v>0</v>
      </c>
      <c r="U213" s="1682">
        <f t="shared" si="47"/>
        <v>370</v>
      </c>
    </row>
    <row r="214" spans="1:21" ht="21" x14ac:dyDescent="0.25">
      <c r="A214" s="1179"/>
      <c r="B214" s="1182" t="s">
        <v>454</v>
      </c>
      <c r="C214" s="1217"/>
      <c r="D214" s="1217" t="s">
        <v>452</v>
      </c>
      <c r="E214" s="1217" t="s">
        <v>534</v>
      </c>
      <c r="F214" s="1217" t="s">
        <v>275</v>
      </c>
      <c r="G214" s="1662" t="s">
        <v>1</v>
      </c>
      <c r="H214" s="1682">
        <v>330</v>
      </c>
      <c r="I214" s="529"/>
      <c r="J214" s="269"/>
      <c r="K214" s="1858"/>
      <c r="L214" s="1858"/>
      <c r="M214" s="1858"/>
      <c r="N214" s="1200">
        <v>350</v>
      </c>
      <c r="O214" s="1858"/>
      <c r="P214" s="1858"/>
      <c r="Q214" s="1858"/>
      <c r="R214" s="1858"/>
      <c r="S214" s="1858"/>
      <c r="T214" s="1858"/>
      <c r="U214" s="1682">
        <v>370</v>
      </c>
    </row>
    <row r="215" spans="1:21" ht="21" x14ac:dyDescent="0.25">
      <c r="A215" s="1233"/>
      <c r="B215" s="753" t="s">
        <v>499</v>
      </c>
      <c r="C215" s="1180"/>
      <c r="D215" s="409" t="s">
        <v>452</v>
      </c>
      <c r="E215" s="409" t="s">
        <v>534</v>
      </c>
      <c r="F215" s="409" t="s">
        <v>89</v>
      </c>
      <c r="G215" s="1662"/>
      <c r="H215" s="1682">
        <f>H216</f>
        <v>3215.3950199999999</v>
      </c>
      <c r="I215" s="529">
        <f t="shared" ref="H215:J216" si="48">I216</f>
        <v>0</v>
      </c>
      <c r="J215" s="270">
        <f t="shared" si="48"/>
        <v>0</v>
      </c>
      <c r="K215" s="1858"/>
      <c r="L215" s="1858"/>
      <c r="M215" s="1858"/>
      <c r="N215" s="1200">
        <f>N216</f>
        <v>2532.2280000000001</v>
      </c>
      <c r="O215" s="1858"/>
      <c r="P215" s="1858"/>
      <c r="Q215" s="1858"/>
      <c r="R215" s="1858"/>
      <c r="S215" s="1858"/>
      <c r="T215" s="1858"/>
      <c r="U215" s="1682">
        <f>U216</f>
        <v>1491.232</v>
      </c>
    </row>
    <row r="216" spans="1:21" x14ac:dyDescent="0.25">
      <c r="A216" s="1179"/>
      <c r="B216" s="753" t="s">
        <v>109</v>
      </c>
      <c r="C216" s="1180"/>
      <c r="D216" s="409" t="s">
        <v>452</v>
      </c>
      <c r="E216" s="409" t="s">
        <v>534</v>
      </c>
      <c r="F216" s="409" t="s">
        <v>84</v>
      </c>
      <c r="G216" s="1662"/>
      <c r="H216" s="1682">
        <f t="shared" si="48"/>
        <v>3215.3950199999999</v>
      </c>
      <c r="I216" s="529">
        <f t="shared" si="48"/>
        <v>0</v>
      </c>
      <c r="J216" s="270">
        <f t="shared" si="48"/>
        <v>0</v>
      </c>
      <c r="K216" s="1858"/>
      <c r="L216" s="1858"/>
      <c r="M216" s="1858"/>
      <c r="N216" s="1200">
        <f t="shared" ref="N216" si="49">N217</f>
        <v>2532.2280000000001</v>
      </c>
      <c r="O216" s="1858"/>
      <c r="P216" s="1858"/>
      <c r="Q216" s="1858"/>
      <c r="R216" s="1858"/>
      <c r="S216" s="1858"/>
      <c r="T216" s="1858"/>
      <c r="U216" s="1682">
        <f t="shared" ref="U216" si="50">U217</f>
        <v>1491.232</v>
      </c>
    </row>
    <row r="217" spans="1:21" x14ac:dyDescent="0.25">
      <c r="A217" s="1179"/>
      <c r="B217" s="753" t="s">
        <v>109</v>
      </c>
      <c r="C217" s="1180"/>
      <c r="D217" s="409" t="s">
        <v>452</v>
      </c>
      <c r="E217" s="409" t="s">
        <v>534</v>
      </c>
      <c r="F217" s="409" t="s">
        <v>82</v>
      </c>
      <c r="G217" s="1662"/>
      <c r="H217" s="1682">
        <f>H218+H221+H226+H227</f>
        <v>3215.3950199999999</v>
      </c>
      <c r="I217" s="529">
        <f>I218+I221+I226</f>
        <v>0</v>
      </c>
      <c r="J217" s="270">
        <f>J218+J221+J226</f>
        <v>0</v>
      </c>
      <c r="K217" s="1862">
        <f>K220+K223+K226</f>
        <v>94.8</v>
      </c>
      <c r="L217" s="1858"/>
      <c r="M217" s="1858"/>
      <c r="N217" s="1200">
        <f>N218+N221+N226+N227</f>
        <v>2532.2280000000001</v>
      </c>
      <c r="O217" s="1858"/>
      <c r="P217" s="1858"/>
      <c r="Q217" s="1858"/>
      <c r="R217" s="1858"/>
      <c r="S217" s="1858"/>
      <c r="T217" s="1858"/>
      <c r="U217" s="1682">
        <f>U218+U221+U226+U227</f>
        <v>1491.232</v>
      </c>
    </row>
    <row r="218" spans="1:21" x14ac:dyDescent="0.25">
      <c r="A218" s="842"/>
      <c r="B218" s="753" t="s">
        <v>537</v>
      </c>
      <c r="C218" s="409"/>
      <c r="D218" s="409" t="s">
        <v>452</v>
      </c>
      <c r="E218" s="409" t="s">
        <v>534</v>
      </c>
      <c r="F218" s="409" t="s">
        <v>536</v>
      </c>
      <c r="G218" s="1662"/>
      <c r="H218" s="1682">
        <f>H220</f>
        <v>1816.5950199999997</v>
      </c>
      <c r="I218" s="529">
        <f>I220</f>
        <v>0</v>
      </c>
      <c r="J218" s="270">
        <f>J220</f>
        <v>0</v>
      </c>
      <c r="K218" s="1858"/>
      <c r="L218" s="1858"/>
      <c r="M218" s="1858"/>
      <c r="N218" s="1200">
        <f>N220</f>
        <v>1174.2539999999999</v>
      </c>
      <c r="O218" s="1858"/>
      <c r="P218" s="1858"/>
      <c r="Q218" s="1858"/>
      <c r="R218" s="1858"/>
      <c r="S218" s="1858"/>
      <c r="T218" s="1858"/>
      <c r="U218" s="1682">
        <f>U220</f>
        <v>722.18</v>
      </c>
    </row>
    <row r="219" spans="1:21" x14ac:dyDescent="0.25">
      <c r="A219" s="842"/>
      <c r="B219" s="753" t="s">
        <v>948</v>
      </c>
      <c r="C219" s="409"/>
      <c r="D219" s="1217" t="s">
        <v>452</v>
      </c>
      <c r="E219" s="1217" t="s">
        <v>534</v>
      </c>
      <c r="F219" s="1217" t="s">
        <v>536</v>
      </c>
      <c r="G219" s="1662" t="s">
        <v>955</v>
      </c>
      <c r="H219" s="1682">
        <f t="shared" ref="H219:U219" si="51">H220</f>
        <v>1816.5950199999997</v>
      </c>
      <c r="I219" s="529">
        <f t="shared" si="51"/>
        <v>0</v>
      </c>
      <c r="J219" s="270">
        <f t="shared" si="51"/>
        <v>0</v>
      </c>
      <c r="K219" s="1858">
        <f t="shared" si="51"/>
        <v>0</v>
      </c>
      <c r="L219" s="1858">
        <f t="shared" si="51"/>
        <v>0</v>
      </c>
      <c r="M219" s="1858">
        <f t="shared" si="51"/>
        <v>0</v>
      </c>
      <c r="N219" s="1200">
        <f t="shared" si="51"/>
        <v>1174.2539999999999</v>
      </c>
      <c r="O219" s="1858">
        <f t="shared" si="51"/>
        <v>0</v>
      </c>
      <c r="P219" s="1858">
        <f t="shared" si="51"/>
        <v>0</v>
      </c>
      <c r="Q219" s="1858">
        <f t="shared" si="51"/>
        <v>0</v>
      </c>
      <c r="R219" s="1858">
        <f t="shared" si="51"/>
        <v>0</v>
      </c>
      <c r="S219" s="1858">
        <f t="shared" si="51"/>
        <v>0</v>
      </c>
      <c r="T219" s="1858">
        <f t="shared" si="51"/>
        <v>0</v>
      </c>
      <c r="U219" s="1682">
        <f t="shared" si="51"/>
        <v>722.18</v>
      </c>
    </row>
    <row r="220" spans="1:21" ht="21" x14ac:dyDescent="0.25">
      <c r="A220" s="1229"/>
      <c r="B220" s="1182" t="s">
        <v>454</v>
      </c>
      <c r="C220" s="1217"/>
      <c r="D220" s="1217" t="s">
        <v>452</v>
      </c>
      <c r="E220" s="1217" t="s">
        <v>534</v>
      </c>
      <c r="F220" s="1217" t="s">
        <v>536</v>
      </c>
      <c r="G220" s="1662" t="s">
        <v>1</v>
      </c>
      <c r="H220" s="1682">
        <f>2098.274+0.06-281.73898</f>
        <v>1816.5950199999997</v>
      </c>
      <c r="I220" s="529"/>
      <c r="J220" s="270"/>
      <c r="K220" s="1859"/>
      <c r="L220" s="1858"/>
      <c r="M220" s="1858"/>
      <c r="N220" s="1200">
        <f>1174.194+0.06</f>
        <v>1174.2539999999999</v>
      </c>
      <c r="O220" s="1858"/>
      <c r="P220" s="1858"/>
      <c r="Q220" s="1858"/>
      <c r="R220" s="1858"/>
      <c r="S220" s="1858"/>
      <c r="T220" s="1858"/>
      <c r="U220" s="1682">
        <f>722.12+0.06</f>
        <v>722.18</v>
      </c>
    </row>
    <row r="221" spans="1:21" x14ac:dyDescent="0.25">
      <c r="A221" s="842"/>
      <c r="B221" s="753" t="s">
        <v>535</v>
      </c>
      <c r="C221" s="409"/>
      <c r="D221" s="409" t="s">
        <v>452</v>
      </c>
      <c r="E221" s="409" t="s">
        <v>534</v>
      </c>
      <c r="F221" s="409" t="s">
        <v>54</v>
      </c>
      <c r="G221" s="1662"/>
      <c r="H221" s="1682">
        <f>H223</f>
        <v>94.8</v>
      </c>
      <c r="I221" s="529">
        <f>I223</f>
        <v>0</v>
      </c>
      <c r="J221" s="270">
        <f>J223</f>
        <v>0</v>
      </c>
      <c r="K221" s="1858"/>
      <c r="L221" s="1858"/>
      <c r="M221" s="1858"/>
      <c r="N221" s="1200">
        <f>N223</f>
        <v>94.8</v>
      </c>
      <c r="O221" s="1858"/>
      <c r="P221" s="1858"/>
      <c r="Q221" s="1858"/>
      <c r="R221" s="1858"/>
      <c r="S221" s="1858"/>
      <c r="T221" s="1858"/>
      <c r="U221" s="1682">
        <f>U223</f>
        <v>94.8</v>
      </c>
    </row>
    <row r="222" spans="1:21" x14ac:dyDescent="0.25">
      <c r="A222" s="842"/>
      <c r="B222" s="753" t="s">
        <v>948</v>
      </c>
      <c r="C222" s="409"/>
      <c r="D222" s="1217" t="s">
        <v>452</v>
      </c>
      <c r="E222" s="1217" t="s">
        <v>534</v>
      </c>
      <c r="F222" s="1217" t="s">
        <v>54</v>
      </c>
      <c r="G222" s="1662" t="s">
        <v>955</v>
      </c>
      <c r="H222" s="1682">
        <f t="shared" ref="H222:U222" si="52">H223</f>
        <v>94.8</v>
      </c>
      <c r="I222" s="529">
        <f t="shared" si="52"/>
        <v>0</v>
      </c>
      <c r="J222" s="404">
        <f t="shared" si="52"/>
        <v>0</v>
      </c>
      <c r="K222" s="1858">
        <f t="shared" si="52"/>
        <v>94.8</v>
      </c>
      <c r="L222" s="1858">
        <f t="shared" si="52"/>
        <v>0</v>
      </c>
      <c r="M222" s="1858">
        <f t="shared" si="52"/>
        <v>0</v>
      </c>
      <c r="N222" s="1200">
        <f t="shared" si="52"/>
        <v>94.8</v>
      </c>
      <c r="O222" s="1858">
        <f t="shared" si="52"/>
        <v>0</v>
      </c>
      <c r="P222" s="1858">
        <f t="shared" si="52"/>
        <v>0</v>
      </c>
      <c r="Q222" s="1858">
        <f t="shared" si="52"/>
        <v>0</v>
      </c>
      <c r="R222" s="1858">
        <f t="shared" si="52"/>
        <v>0</v>
      </c>
      <c r="S222" s="1858">
        <f t="shared" si="52"/>
        <v>0</v>
      </c>
      <c r="T222" s="1858">
        <f t="shared" si="52"/>
        <v>0</v>
      </c>
      <c r="U222" s="1682">
        <f t="shared" si="52"/>
        <v>94.8</v>
      </c>
    </row>
    <row r="223" spans="1:21" ht="21" x14ac:dyDescent="0.25">
      <c r="A223" s="1234"/>
      <c r="B223" s="1182" t="s">
        <v>454</v>
      </c>
      <c r="C223" s="1217"/>
      <c r="D223" s="1217" t="s">
        <v>452</v>
      </c>
      <c r="E223" s="1217" t="s">
        <v>534</v>
      </c>
      <c r="F223" s="1217" t="s">
        <v>54</v>
      </c>
      <c r="G223" s="1662" t="s">
        <v>1</v>
      </c>
      <c r="H223" s="1682">
        <v>94.8</v>
      </c>
      <c r="I223" s="529"/>
      <c r="J223" s="269"/>
      <c r="K223" s="1858">
        <v>94.8</v>
      </c>
      <c r="L223" s="1858"/>
      <c r="M223" s="1858"/>
      <c r="N223" s="1200">
        <v>94.8</v>
      </c>
      <c r="O223" s="1858"/>
      <c r="P223" s="1858"/>
      <c r="Q223" s="1858"/>
      <c r="R223" s="1858"/>
      <c r="S223" s="1858"/>
      <c r="T223" s="1858"/>
      <c r="U223" s="1682">
        <v>94.8</v>
      </c>
    </row>
    <row r="224" spans="1:21" x14ac:dyDescent="0.25">
      <c r="A224" s="1234"/>
      <c r="B224" s="753" t="s">
        <v>53</v>
      </c>
      <c r="C224" s="409"/>
      <c r="D224" s="409" t="s">
        <v>452</v>
      </c>
      <c r="E224" s="409" t="s">
        <v>534</v>
      </c>
      <c r="F224" s="409" t="s">
        <v>50</v>
      </c>
      <c r="G224" s="1662"/>
      <c r="H224" s="1682">
        <f>H226+H227</f>
        <v>1304</v>
      </c>
      <c r="I224" s="529">
        <f>I226</f>
        <v>0</v>
      </c>
      <c r="J224" s="269">
        <f>J226</f>
        <v>0</v>
      </c>
      <c r="K224" s="1858"/>
      <c r="L224" s="1858"/>
      <c r="M224" s="1858"/>
      <c r="N224" s="1200">
        <f>N226+N227</f>
        <v>1263.174</v>
      </c>
      <c r="O224" s="1858"/>
      <c r="P224" s="1858"/>
      <c r="Q224" s="1858"/>
      <c r="R224" s="1858"/>
      <c r="S224" s="1858"/>
      <c r="T224" s="1858"/>
      <c r="U224" s="1682">
        <f>U226+U227</f>
        <v>674.25199999999995</v>
      </c>
    </row>
    <row r="225" spans="1:27" x14ac:dyDescent="0.25">
      <c r="A225" s="1234"/>
      <c r="B225" s="753" t="s">
        <v>948</v>
      </c>
      <c r="C225" s="409"/>
      <c r="D225" s="1217" t="s">
        <v>452</v>
      </c>
      <c r="E225" s="1217" t="s">
        <v>534</v>
      </c>
      <c r="F225" s="1217" t="s">
        <v>50</v>
      </c>
      <c r="G225" s="1662" t="s">
        <v>955</v>
      </c>
      <c r="H225" s="1682">
        <f t="shared" ref="H225:U225" si="53">H226</f>
        <v>1304</v>
      </c>
      <c r="I225" s="529">
        <f t="shared" si="53"/>
        <v>0</v>
      </c>
      <c r="J225" s="269">
        <f t="shared" si="53"/>
        <v>0</v>
      </c>
      <c r="K225" s="1858">
        <f t="shared" si="53"/>
        <v>0</v>
      </c>
      <c r="L225" s="1858">
        <f t="shared" si="53"/>
        <v>0</v>
      </c>
      <c r="M225" s="1858">
        <f t="shared" si="53"/>
        <v>0</v>
      </c>
      <c r="N225" s="1200">
        <f t="shared" si="53"/>
        <v>1263.174</v>
      </c>
      <c r="O225" s="1858">
        <f t="shared" si="53"/>
        <v>0</v>
      </c>
      <c r="P225" s="1858">
        <f t="shared" si="53"/>
        <v>0</v>
      </c>
      <c r="Q225" s="1858">
        <f t="shared" si="53"/>
        <v>0</v>
      </c>
      <c r="R225" s="1858">
        <f t="shared" si="53"/>
        <v>0</v>
      </c>
      <c r="S225" s="1858">
        <f t="shared" si="53"/>
        <v>0</v>
      </c>
      <c r="T225" s="1858">
        <f t="shared" si="53"/>
        <v>0</v>
      </c>
      <c r="U225" s="1682">
        <f t="shared" si="53"/>
        <v>674.25199999999995</v>
      </c>
    </row>
    <row r="226" spans="1:27" ht="21" x14ac:dyDescent="0.25">
      <c r="A226" s="1234"/>
      <c r="B226" s="1182" t="s">
        <v>454</v>
      </c>
      <c r="C226" s="1217"/>
      <c r="D226" s="1217" t="s">
        <v>452</v>
      </c>
      <c r="E226" s="1217" t="s">
        <v>534</v>
      </c>
      <c r="F226" s="1217" t="s">
        <v>50</v>
      </c>
      <c r="G226" s="1662" t="s">
        <v>1</v>
      </c>
      <c r="H226" s="1682">
        <f>1604-300</f>
        <v>1304</v>
      </c>
      <c r="I226" s="529"/>
      <c r="J226" s="269"/>
      <c r="K226" s="1859"/>
      <c r="L226" s="1858"/>
      <c r="M226" s="1858"/>
      <c r="N226" s="1200">
        <f>1268.174-5</f>
        <v>1263.174</v>
      </c>
      <c r="O226" s="1858"/>
      <c r="P226" s="1858"/>
      <c r="Q226" s="1858"/>
      <c r="R226" s="1858"/>
      <c r="S226" s="1858"/>
      <c r="T226" s="1858"/>
      <c r="U226" s="1682">
        <v>674.25199999999995</v>
      </c>
      <c r="AA226" s="1">
        <v>-5</v>
      </c>
    </row>
    <row r="227" spans="1:27" hidden="1" x14ac:dyDescent="0.25">
      <c r="A227" s="1234"/>
      <c r="B227" s="1182" t="s">
        <v>622</v>
      </c>
      <c r="C227" s="1217"/>
      <c r="D227" s="1217"/>
      <c r="E227" s="1217"/>
      <c r="F227" s="1217"/>
      <c r="G227" s="1662"/>
      <c r="H227" s="1682"/>
      <c r="I227" s="529"/>
      <c r="J227" s="404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7" x14ac:dyDescent="0.25">
      <c r="A228" s="1234"/>
      <c r="B228" s="1225" t="s">
        <v>378</v>
      </c>
      <c r="C228" s="1226"/>
      <c r="D228" s="1227" t="s">
        <v>463</v>
      </c>
      <c r="E228" s="1227" t="s">
        <v>459</v>
      </c>
      <c r="F228" s="1227"/>
      <c r="G228" s="1665"/>
      <c r="H228" s="1684">
        <f>H229+H251+H293</f>
        <v>56227.160999999993</v>
      </c>
      <c r="I228" s="853">
        <f>I229+I251+I293</f>
        <v>17214.18</v>
      </c>
      <c r="J228" s="400">
        <f>J229+J251+J293</f>
        <v>13826.606</v>
      </c>
      <c r="K228" s="1858"/>
      <c r="L228" s="1858"/>
      <c r="M228" s="1858"/>
      <c r="N228" s="1228">
        <f>N229+N251+N293</f>
        <v>48541.77</v>
      </c>
      <c r="O228" s="1858"/>
      <c r="P228" s="1858"/>
      <c r="Q228" s="1858"/>
      <c r="R228" s="1858"/>
      <c r="S228" s="1858"/>
      <c r="T228" s="1858"/>
      <c r="U228" s="1684">
        <f>U229+U251+U293</f>
        <v>48714.366000000002</v>
      </c>
    </row>
    <row r="229" spans="1:27" x14ac:dyDescent="0.25">
      <c r="A229" s="1229"/>
      <c r="B229" s="1225" t="s">
        <v>11</v>
      </c>
      <c r="C229" s="1227"/>
      <c r="D229" s="1227" t="s">
        <v>463</v>
      </c>
      <c r="E229" s="1227" t="s">
        <v>456</v>
      </c>
      <c r="F229" s="1227"/>
      <c r="G229" s="1665"/>
      <c r="H229" s="1684">
        <f>H239+H230</f>
        <v>947.01</v>
      </c>
      <c r="I229" s="853">
        <f>I239</f>
        <v>0</v>
      </c>
      <c r="J229" s="400">
        <f>J239</f>
        <v>0</v>
      </c>
      <c r="K229" s="1858"/>
      <c r="L229" s="1858"/>
      <c r="M229" s="1858"/>
      <c r="N229" s="1228">
        <f>N239+N230</f>
        <v>984.89</v>
      </c>
      <c r="O229" s="1858"/>
      <c r="P229" s="1858"/>
      <c r="Q229" s="1858"/>
      <c r="R229" s="1858"/>
      <c r="S229" s="1858"/>
      <c r="T229" s="1858"/>
      <c r="U229" s="1684">
        <f>U239+U230</f>
        <v>1024.2860000000001</v>
      </c>
    </row>
    <row r="230" spans="1:27" ht="31.5" hidden="1" x14ac:dyDescent="0.25">
      <c r="A230" s="1229"/>
      <c r="B230" s="1203" t="s">
        <v>861</v>
      </c>
      <c r="C230" s="1177"/>
      <c r="D230" s="408" t="s">
        <v>463</v>
      </c>
      <c r="E230" s="408" t="s">
        <v>456</v>
      </c>
      <c r="F230" s="408" t="s">
        <v>468</v>
      </c>
      <c r="G230" s="1661"/>
      <c r="H230" s="1683">
        <f>H231+H235</f>
        <v>0</v>
      </c>
      <c r="I230" s="853"/>
      <c r="J230" s="400"/>
      <c r="K230" s="1858"/>
      <c r="L230" s="1858"/>
      <c r="M230" s="1858"/>
      <c r="N230" s="1208"/>
      <c r="O230" s="1858"/>
      <c r="P230" s="1858"/>
      <c r="Q230" s="1858"/>
      <c r="R230" s="1858"/>
      <c r="S230" s="1858"/>
      <c r="T230" s="1858"/>
      <c r="U230" s="1683"/>
    </row>
    <row r="231" spans="1:27" hidden="1" x14ac:dyDescent="0.25">
      <c r="A231" s="1229"/>
      <c r="B231" s="1203" t="s">
        <v>849</v>
      </c>
      <c r="C231" s="1180"/>
      <c r="D231" s="409" t="s">
        <v>463</v>
      </c>
      <c r="E231" s="409" t="s">
        <v>456</v>
      </c>
      <c r="F231" s="409" t="s">
        <v>854</v>
      </c>
      <c r="G231" s="1662"/>
      <c r="H231" s="1682">
        <f>H232</f>
        <v>0</v>
      </c>
      <c r="I231" s="853"/>
      <c r="J231" s="400"/>
      <c r="K231" s="1862">
        <v>186.20699999999999</v>
      </c>
      <c r="L231" s="1858"/>
      <c r="M231" s="1858"/>
      <c r="N231" s="1200"/>
      <c r="O231" s="1858"/>
      <c r="P231" s="1858"/>
      <c r="Q231" s="1858"/>
      <c r="R231" s="1858"/>
      <c r="S231" s="1858"/>
      <c r="T231" s="1858"/>
      <c r="U231" s="1682"/>
    </row>
    <row r="232" spans="1:27" hidden="1" x14ac:dyDescent="0.25">
      <c r="A232" s="1229"/>
      <c r="B232" s="1203" t="s">
        <v>850</v>
      </c>
      <c r="C232" s="1180"/>
      <c r="D232" s="409" t="s">
        <v>463</v>
      </c>
      <c r="E232" s="409" t="s">
        <v>456</v>
      </c>
      <c r="F232" s="409" t="s">
        <v>855</v>
      </c>
      <c r="G232" s="1662"/>
      <c r="H232" s="1682">
        <f>H233</f>
        <v>0</v>
      </c>
      <c r="I232" s="853"/>
      <c r="J232" s="400"/>
      <c r="K232" s="1858"/>
      <c r="L232" s="1858"/>
      <c r="M232" s="1858"/>
      <c r="N232" s="1200"/>
      <c r="O232" s="1858"/>
      <c r="P232" s="1858"/>
      <c r="Q232" s="1858"/>
      <c r="R232" s="1858"/>
      <c r="S232" s="1858"/>
      <c r="T232" s="1858"/>
      <c r="U232" s="1682"/>
    </row>
    <row r="233" spans="1:27" ht="31.5" hidden="1" x14ac:dyDescent="0.25">
      <c r="A233" s="1229"/>
      <c r="B233" s="1232" t="s">
        <v>851</v>
      </c>
      <c r="C233" s="1180"/>
      <c r="D233" s="409" t="s">
        <v>463</v>
      </c>
      <c r="E233" s="409" t="s">
        <v>456</v>
      </c>
      <c r="F233" s="1864" t="s">
        <v>856</v>
      </c>
      <c r="G233" s="1662"/>
      <c r="H233" s="1682">
        <f>H234</f>
        <v>0</v>
      </c>
      <c r="I233" s="853"/>
      <c r="J233" s="400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7" hidden="1" x14ac:dyDescent="0.25">
      <c r="A234" s="1229"/>
      <c r="B234" s="1236" t="s">
        <v>497</v>
      </c>
      <c r="C234" s="1183"/>
      <c r="D234" s="409" t="s">
        <v>463</v>
      </c>
      <c r="E234" s="409" t="s">
        <v>456</v>
      </c>
      <c r="F234" s="1864" t="s">
        <v>856</v>
      </c>
      <c r="G234" s="1662" t="s">
        <v>77</v>
      </c>
      <c r="H234" s="1865"/>
      <c r="I234" s="853"/>
      <c r="J234" s="400"/>
      <c r="K234" s="1858">
        <v>130.441</v>
      </c>
      <c r="L234" s="1858"/>
      <c r="M234" s="1858"/>
      <c r="N234" s="1866"/>
      <c r="O234" s="1858"/>
      <c r="P234" s="1858"/>
      <c r="Q234" s="1858"/>
      <c r="R234" s="1858"/>
      <c r="S234" s="1858"/>
      <c r="T234" s="1858"/>
      <c r="U234" s="1865"/>
    </row>
    <row r="235" spans="1:27" ht="21" hidden="1" x14ac:dyDescent="0.25">
      <c r="A235" s="1229"/>
      <c r="B235" s="1203" t="s">
        <v>853</v>
      </c>
      <c r="C235" s="1183"/>
      <c r="D235" s="409" t="s">
        <v>463</v>
      </c>
      <c r="E235" s="409" t="s">
        <v>456</v>
      </c>
      <c r="F235" s="1864" t="s">
        <v>857</v>
      </c>
      <c r="G235" s="1662"/>
      <c r="H235" s="1865">
        <f>H236</f>
        <v>0</v>
      </c>
      <c r="I235" s="853"/>
      <c r="J235" s="400"/>
      <c r="K235" s="1858"/>
      <c r="L235" s="1858"/>
      <c r="M235" s="1858"/>
      <c r="N235" s="1866"/>
      <c r="O235" s="1858"/>
      <c r="P235" s="1858"/>
      <c r="Q235" s="1858"/>
      <c r="R235" s="1858"/>
      <c r="S235" s="1858"/>
      <c r="T235" s="1858"/>
      <c r="U235" s="1865"/>
    </row>
    <row r="236" spans="1:27" hidden="1" x14ac:dyDescent="0.25">
      <c r="A236" s="1229"/>
      <c r="B236" s="1203" t="s">
        <v>850</v>
      </c>
      <c r="C236" s="1183"/>
      <c r="D236" s="409" t="s">
        <v>463</v>
      </c>
      <c r="E236" s="409" t="s">
        <v>456</v>
      </c>
      <c r="F236" s="409" t="s">
        <v>858</v>
      </c>
      <c r="G236" s="1662"/>
      <c r="H236" s="1865">
        <f>H237</f>
        <v>0</v>
      </c>
      <c r="I236" s="853"/>
      <c r="J236" s="400"/>
      <c r="K236" s="1858"/>
      <c r="L236" s="1858"/>
      <c r="M236" s="1858"/>
      <c r="N236" s="1866"/>
      <c r="O236" s="1858"/>
      <c r="P236" s="1858"/>
      <c r="Q236" s="1858"/>
      <c r="R236" s="1858"/>
      <c r="S236" s="1858"/>
      <c r="T236" s="1858"/>
      <c r="U236" s="1865"/>
    </row>
    <row r="237" spans="1:27" ht="31.5" hidden="1" x14ac:dyDescent="0.25">
      <c r="A237" s="1229"/>
      <c r="B237" s="1203" t="s">
        <v>851</v>
      </c>
      <c r="C237" s="1183"/>
      <c r="D237" s="409" t="s">
        <v>463</v>
      </c>
      <c r="E237" s="409" t="s">
        <v>456</v>
      </c>
      <c r="F237" s="1864" t="s">
        <v>859</v>
      </c>
      <c r="G237" s="1662"/>
      <c r="H237" s="1865">
        <f>H238</f>
        <v>0</v>
      </c>
      <c r="I237" s="853"/>
      <c r="J237" s="400"/>
      <c r="K237" s="1858"/>
      <c r="L237" s="1858"/>
      <c r="M237" s="1858"/>
      <c r="N237" s="1866"/>
      <c r="O237" s="1858"/>
      <c r="P237" s="1858"/>
      <c r="Q237" s="1858"/>
      <c r="R237" s="1858"/>
      <c r="S237" s="1858"/>
      <c r="T237" s="1858"/>
      <c r="U237" s="1865"/>
    </row>
    <row r="238" spans="1:27" hidden="1" x14ac:dyDescent="0.25">
      <c r="A238" s="1229"/>
      <c r="B238" s="1236" t="s">
        <v>497</v>
      </c>
      <c r="C238" s="1183"/>
      <c r="D238" s="409" t="s">
        <v>463</v>
      </c>
      <c r="E238" s="409" t="s">
        <v>456</v>
      </c>
      <c r="F238" s="1864" t="s">
        <v>859</v>
      </c>
      <c r="G238" s="1662" t="s">
        <v>77</v>
      </c>
      <c r="H238" s="1865"/>
      <c r="I238" s="853"/>
      <c r="J238" s="400"/>
      <c r="K238" s="1858">
        <v>55.765999999999998</v>
      </c>
      <c r="L238" s="1858"/>
      <c r="M238" s="1858"/>
      <c r="N238" s="1866"/>
      <c r="O238" s="1858"/>
      <c r="P238" s="1858"/>
      <c r="Q238" s="1858"/>
      <c r="R238" s="1858"/>
      <c r="S238" s="1858"/>
      <c r="T238" s="1858"/>
      <c r="U238" s="1865"/>
    </row>
    <row r="239" spans="1:27" ht="22.5" customHeight="1" x14ac:dyDescent="0.25">
      <c r="A239" s="1233"/>
      <c r="B239" s="753" t="s">
        <v>499</v>
      </c>
      <c r="C239" s="1180"/>
      <c r="D239" s="409" t="s">
        <v>463</v>
      </c>
      <c r="E239" s="409" t="s">
        <v>456</v>
      </c>
      <c r="F239" s="409" t="s">
        <v>89</v>
      </c>
      <c r="G239" s="1662"/>
      <c r="H239" s="1682">
        <f t="shared" ref="H239:J240" si="54">H240</f>
        <v>947.01</v>
      </c>
      <c r="I239" s="529">
        <f t="shared" si="54"/>
        <v>0</v>
      </c>
      <c r="J239" s="270">
        <f t="shared" si="54"/>
        <v>0</v>
      </c>
      <c r="K239" s="1858"/>
      <c r="L239" s="1858"/>
      <c r="M239" s="1858"/>
      <c r="N239" s="1200">
        <f t="shared" ref="N239:N240" si="55">N240</f>
        <v>984.89</v>
      </c>
      <c r="O239" s="1858"/>
      <c r="P239" s="1858"/>
      <c r="Q239" s="1858"/>
      <c r="R239" s="1858"/>
      <c r="S239" s="1858"/>
      <c r="T239" s="1858"/>
      <c r="U239" s="1682">
        <f t="shared" ref="U239:U240" si="56">U240</f>
        <v>1024.2860000000001</v>
      </c>
    </row>
    <row r="240" spans="1:27" x14ac:dyDescent="0.25">
      <c r="A240" s="1179"/>
      <c r="B240" s="753" t="s">
        <v>109</v>
      </c>
      <c r="C240" s="1180"/>
      <c r="D240" s="409" t="s">
        <v>463</v>
      </c>
      <c r="E240" s="409" t="s">
        <v>456</v>
      </c>
      <c r="F240" s="409" t="s">
        <v>84</v>
      </c>
      <c r="G240" s="1662"/>
      <c r="H240" s="1682">
        <f t="shared" si="54"/>
        <v>947.01</v>
      </c>
      <c r="I240" s="529">
        <f t="shared" si="54"/>
        <v>0</v>
      </c>
      <c r="J240" s="270">
        <f t="shared" si="54"/>
        <v>0</v>
      </c>
      <c r="K240" s="1858"/>
      <c r="L240" s="1858"/>
      <c r="M240" s="1858"/>
      <c r="N240" s="1200">
        <f t="shared" si="55"/>
        <v>984.89</v>
      </c>
      <c r="O240" s="1858"/>
      <c r="P240" s="1858"/>
      <c r="Q240" s="1858"/>
      <c r="R240" s="1858"/>
      <c r="S240" s="1858"/>
      <c r="T240" s="1858"/>
      <c r="U240" s="1682">
        <f t="shared" si="56"/>
        <v>1024.2860000000001</v>
      </c>
    </row>
    <row r="241" spans="1:21" x14ac:dyDescent="0.25">
      <c r="A241" s="1179"/>
      <c r="B241" s="753" t="s">
        <v>109</v>
      </c>
      <c r="C241" s="1180"/>
      <c r="D241" s="409" t="s">
        <v>463</v>
      </c>
      <c r="E241" s="409" t="s">
        <v>456</v>
      </c>
      <c r="F241" s="409" t="s">
        <v>82</v>
      </c>
      <c r="G241" s="1662"/>
      <c r="H241" s="1682">
        <f>H242+H244+H248+H246</f>
        <v>947.01</v>
      </c>
      <c r="I241" s="529">
        <f>I242+I244+I248</f>
        <v>0</v>
      </c>
      <c r="J241" s="270">
        <f>J242+J244+J248</f>
        <v>0</v>
      </c>
      <c r="K241" s="1858"/>
      <c r="L241" s="1858"/>
      <c r="M241" s="1858"/>
      <c r="N241" s="1200">
        <f>N242+N244+N248</f>
        <v>984.89</v>
      </c>
      <c r="O241" s="1858"/>
      <c r="P241" s="1858"/>
      <c r="Q241" s="1858"/>
      <c r="R241" s="1858"/>
      <c r="S241" s="1858"/>
      <c r="T241" s="1858"/>
      <c r="U241" s="1682">
        <f>U242+U244+U248</f>
        <v>1024.2860000000001</v>
      </c>
    </row>
    <row r="242" spans="1:21" hidden="1" x14ac:dyDescent="0.25">
      <c r="A242" s="842"/>
      <c r="B242" s="753" t="s">
        <v>533</v>
      </c>
      <c r="C242" s="409"/>
      <c r="D242" s="409" t="s">
        <v>463</v>
      </c>
      <c r="E242" s="409" t="s">
        <v>456</v>
      </c>
      <c r="F242" s="409" t="s">
        <v>30</v>
      </c>
      <c r="G242" s="1662"/>
      <c r="H242" s="1682">
        <f>H243</f>
        <v>0</v>
      </c>
      <c r="I242" s="529">
        <f>I243</f>
        <v>0</v>
      </c>
      <c r="J242" s="270">
        <f>J243</f>
        <v>0</v>
      </c>
      <c r="K242" s="1858"/>
      <c r="L242" s="1858"/>
      <c r="M242" s="1858"/>
      <c r="N242" s="1200">
        <f>N243</f>
        <v>0</v>
      </c>
      <c r="O242" s="1858"/>
      <c r="P242" s="1858"/>
      <c r="Q242" s="1858"/>
      <c r="R242" s="1858"/>
      <c r="S242" s="1858"/>
      <c r="T242" s="1858"/>
      <c r="U242" s="1682">
        <f>U243</f>
        <v>0</v>
      </c>
    </row>
    <row r="243" spans="1:21" ht="21" hidden="1" x14ac:dyDescent="0.25">
      <c r="A243" s="1229"/>
      <c r="B243" s="1182" t="s">
        <v>454</v>
      </c>
      <c r="C243" s="409"/>
      <c r="D243" s="1217" t="s">
        <v>463</v>
      </c>
      <c r="E243" s="1217" t="s">
        <v>456</v>
      </c>
      <c r="F243" s="409" t="s">
        <v>30</v>
      </c>
      <c r="G243" s="1662" t="s">
        <v>1</v>
      </c>
      <c r="H243" s="1682">
        <v>0</v>
      </c>
      <c r="I243" s="529"/>
      <c r="J243" s="269"/>
      <c r="K243" s="1858"/>
      <c r="L243" s="1858"/>
      <c r="M243" s="1858"/>
      <c r="N243" s="1200">
        <v>0</v>
      </c>
      <c r="O243" s="1858"/>
      <c r="P243" s="1858"/>
      <c r="Q243" s="1858"/>
      <c r="R243" s="1858"/>
      <c r="S243" s="1858"/>
      <c r="T243" s="1858"/>
      <c r="U243" s="1682">
        <v>0</v>
      </c>
    </row>
    <row r="244" spans="1:21" hidden="1" x14ac:dyDescent="0.25">
      <c r="A244" s="842"/>
      <c r="B244" s="753" t="s">
        <v>532</v>
      </c>
      <c r="C244" s="409"/>
      <c r="D244" s="409" t="s">
        <v>463</v>
      </c>
      <c r="E244" s="409" t="s">
        <v>456</v>
      </c>
      <c r="F244" s="409" t="s">
        <v>531</v>
      </c>
      <c r="G244" s="1662"/>
      <c r="H244" s="1682">
        <f>H245</f>
        <v>0</v>
      </c>
      <c r="I244" s="529">
        <f>I245</f>
        <v>0</v>
      </c>
      <c r="J244" s="269">
        <f>J245</f>
        <v>0</v>
      </c>
      <c r="K244" s="1858"/>
      <c r="L244" s="1858"/>
      <c r="M244" s="1858"/>
      <c r="N244" s="1200">
        <f>N245</f>
        <v>0</v>
      </c>
      <c r="O244" s="1858"/>
      <c r="P244" s="1858"/>
      <c r="Q244" s="1858"/>
      <c r="R244" s="1858"/>
      <c r="S244" s="1858"/>
      <c r="T244" s="1858"/>
      <c r="U244" s="1682">
        <f>U245</f>
        <v>0</v>
      </c>
    </row>
    <row r="245" spans="1:21" ht="21" hidden="1" x14ac:dyDescent="0.25">
      <c r="A245" s="1229"/>
      <c r="B245" s="1182" t="s">
        <v>454</v>
      </c>
      <c r="C245" s="409"/>
      <c r="D245" s="1217" t="s">
        <v>463</v>
      </c>
      <c r="E245" s="1217" t="s">
        <v>456</v>
      </c>
      <c r="F245" s="1217" t="s">
        <v>531</v>
      </c>
      <c r="G245" s="1662" t="s">
        <v>1</v>
      </c>
      <c r="H245" s="1682"/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idden="1" x14ac:dyDescent="0.25">
      <c r="A246" s="1229"/>
      <c r="B246" s="753" t="s">
        <v>1007</v>
      </c>
      <c r="C246" s="409"/>
      <c r="D246" s="409" t="s">
        <v>463</v>
      </c>
      <c r="E246" s="409" t="s">
        <v>456</v>
      </c>
      <c r="F246" s="1217" t="s">
        <v>30</v>
      </c>
      <c r="G246" s="1662"/>
      <c r="H246" s="1682">
        <f>H247</f>
        <v>0</v>
      </c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1" hidden="1" x14ac:dyDescent="0.25">
      <c r="A247" s="1229"/>
      <c r="B247" s="1182" t="s">
        <v>454</v>
      </c>
      <c r="C247" s="409"/>
      <c r="D247" s="409" t="s">
        <v>463</v>
      </c>
      <c r="E247" s="409" t="s">
        <v>456</v>
      </c>
      <c r="F247" s="1217" t="s">
        <v>30</v>
      </c>
      <c r="G247" s="1662" t="s">
        <v>1</v>
      </c>
      <c r="H247" s="1682"/>
      <c r="I247" s="529"/>
      <c r="J247" s="269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x14ac:dyDescent="0.25">
      <c r="A248" s="842"/>
      <c r="B248" s="753" t="s">
        <v>12</v>
      </c>
      <c r="C248" s="409"/>
      <c r="D248" s="409" t="s">
        <v>463</v>
      </c>
      <c r="E248" s="409" t="s">
        <v>456</v>
      </c>
      <c r="F248" s="409" t="s">
        <v>10</v>
      </c>
      <c r="G248" s="1662"/>
      <c r="H248" s="1682">
        <f>H250</f>
        <v>947.01</v>
      </c>
      <c r="I248" s="529">
        <f>I250</f>
        <v>0</v>
      </c>
      <c r="J248" s="269">
        <f>J250</f>
        <v>0</v>
      </c>
      <c r="K248" s="1858"/>
      <c r="L248" s="1858"/>
      <c r="M248" s="1858"/>
      <c r="N248" s="1200">
        <f>N250</f>
        <v>984.89</v>
      </c>
      <c r="O248" s="1858"/>
      <c r="P248" s="1858"/>
      <c r="Q248" s="1858"/>
      <c r="R248" s="1858"/>
      <c r="S248" s="1858"/>
      <c r="T248" s="1858"/>
      <c r="U248" s="1682">
        <f>U250</f>
        <v>1024.2860000000001</v>
      </c>
    </row>
    <row r="249" spans="1:21" x14ac:dyDescent="0.25">
      <c r="A249" s="842"/>
      <c r="B249" s="753" t="s">
        <v>948</v>
      </c>
      <c r="C249" s="409"/>
      <c r="D249" s="1217" t="s">
        <v>463</v>
      </c>
      <c r="E249" s="1217" t="s">
        <v>456</v>
      </c>
      <c r="F249" s="1217" t="s">
        <v>10</v>
      </c>
      <c r="G249" s="1662" t="s">
        <v>955</v>
      </c>
      <c r="H249" s="1682">
        <f t="shared" ref="H249:U249" si="57">H250</f>
        <v>947.01</v>
      </c>
      <c r="I249" s="529">
        <f t="shared" si="57"/>
        <v>0</v>
      </c>
      <c r="J249" s="269">
        <f t="shared" si="57"/>
        <v>0</v>
      </c>
      <c r="K249" s="1858">
        <f t="shared" si="57"/>
        <v>0</v>
      </c>
      <c r="L249" s="1858">
        <f t="shared" si="57"/>
        <v>0</v>
      </c>
      <c r="M249" s="1858">
        <f t="shared" si="57"/>
        <v>0</v>
      </c>
      <c r="N249" s="1200">
        <f t="shared" si="57"/>
        <v>984.89</v>
      </c>
      <c r="O249" s="1858">
        <f t="shared" si="57"/>
        <v>0</v>
      </c>
      <c r="P249" s="1858">
        <f t="shared" si="57"/>
        <v>0</v>
      </c>
      <c r="Q249" s="1858">
        <f t="shared" si="57"/>
        <v>0</v>
      </c>
      <c r="R249" s="1858">
        <f t="shared" si="57"/>
        <v>0</v>
      </c>
      <c r="S249" s="1858">
        <f t="shared" si="57"/>
        <v>0</v>
      </c>
      <c r="T249" s="1858">
        <f t="shared" si="57"/>
        <v>0</v>
      </c>
      <c r="U249" s="1682">
        <f t="shared" si="57"/>
        <v>1024.2860000000001</v>
      </c>
    </row>
    <row r="250" spans="1:21" ht="21" x14ac:dyDescent="0.25">
      <c r="A250" s="1229"/>
      <c r="B250" s="1182" t="s">
        <v>454</v>
      </c>
      <c r="C250" s="409"/>
      <c r="D250" s="1217" t="s">
        <v>463</v>
      </c>
      <c r="E250" s="1217" t="s">
        <v>456</v>
      </c>
      <c r="F250" s="1217" t="s">
        <v>10</v>
      </c>
      <c r="G250" s="1662" t="s">
        <v>1</v>
      </c>
      <c r="H250" s="1682">
        <v>947.01</v>
      </c>
      <c r="I250" s="529"/>
      <c r="J250" s="269"/>
      <c r="K250" s="1862"/>
      <c r="L250" s="1858"/>
      <c r="M250" s="1858"/>
      <c r="N250" s="1200">
        <v>984.89</v>
      </c>
      <c r="O250" s="1858"/>
      <c r="P250" s="1858"/>
      <c r="Q250" s="1858"/>
      <c r="R250" s="1858"/>
      <c r="S250" s="1858"/>
      <c r="T250" s="1858"/>
      <c r="U250" s="1682">
        <v>1024.2860000000001</v>
      </c>
    </row>
    <row r="251" spans="1:21" x14ac:dyDescent="0.25">
      <c r="A251" s="1234"/>
      <c r="B251" s="1225" t="s">
        <v>530</v>
      </c>
      <c r="C251" s="1227"/>
      <c r="D251" s="1227" t="s">
        <v>463</v>
      </c>
      <c r="E251" s="1227" t="s">
        <v>488</v>
      </c>
      <c r="F251" s="1227"/>
      <c r="G251" s="1665"/>
      <c r="H251" s="1684">
        <f>H252+H262</f>
        <v>3766.6669999999999</v>
      </c>
      <c r="I251" s="853">
        <f>I252+I262+I275</f>
        <v>3670.8</v>
      </c>
      <c r="J251" s="400">
        <f>J252+J262+J275</f>
        <v>4037.88</v>
      </c>
      <c r="K251" s="1858"/>
      <c r="L251" s="1858"/>
      <c r="M251" s="1858"/>
      <c r="N251" s="1228">
        <f>N252+N262</f>
        <v>3500</v>
      </c>
      <c r="O251" s="1858"/>
      <c r="P251" s="1858"/>
      <c r="Q251" s="1858"/>
      <c r="R251" s="1858"/>
      <c r="S251" s="1858"/>
      <c r="T251" s="1858"/>
      <c r="U251" s="1684">
        <f>U252+U262</f>
        <v>3400</v>
      </c>
    </row>
    <row r="252" spans="1:21" ht="21" x14ac:dyDescent="0.25">
      <c r="A252" s="1234"/>
      <c r="B252" s="1238" t="s">
        <v>884</v>
      </c>
      <c r="C252" s="409"/>
      <c r="D252" s="409" t="s">
        <v>463</v>
      </c>
      <c r="E252" s="409" t="s">
        <v>488</v>
      </c>
      <c r="F252" s="409" t="s">
        <v>196</v>
      </c>
      <c r="G252" s="1662"/>
      <c r="H252" s="1682">
        <f>H253</f>
        <v>2266.6669999999999</v>
      </c>
      <c r="I252" s="529">
        <f t="shared" ref="I252:J253" si="58">I253</f>
        <v>0</v>
      </c>
      <c r="J252" s="270">
        <f t="shared" si="58"/>
        <v>0</v>
      </c>
      <c r="K252" s="1862">
        <f>K256</f>
        <v>0</v>
      </c>
      <c r="L252" s="1858"/>
      <c r="M252" s="1858"/>
      <c r="N252" s="1200">
        <f>N256+N261</f>
        <v>2100</v>
      </c>
      <c r="O252" s="1858"/>
      <c r="P252" s="1858"/>
      <c r="Q252" s="1858"/>
      <c r="R252" s="1858"/>
      <c r="S252" s="1858"/>
      <c r="T252" s="1858"/>
      <c r="U252" s="1682">
        <f t="shared" ref="U252" si="59">U253</f>
        <v>2000</v>
      </c>
    </row>
    <row r="253" spans="1:21" x14ac:dyDescent="0.25">
      <c r="A253" s="1234"/>
      <c r="B253" s="1203" t="s">
        <v>195</v>
      </c>
      <c r="C253" s="409"/>
      <c r="D253" s="1217" t="s">
        <v>463</v>
      </c>
      <c r="E253" s="1217" t="s">
        <v>488</v>
      </c>
      <c r="F253" s="409" t="s">
        <v>194</v>
      </c>
      <c r="G253" s="1662"/>
      <c r="H253" s="1682">
        <f>H256+H258+H261</f>
        <v>2266.6669999999999</v>
      </c>
      <c r="I253" s="529">
        <f t="shared" si="58"/>
        <v>0</v>
      </c>
      <c r="J253" s="270">
        <f t="shared" si="58"/>
        <v>0</v>
      </c>
      <c r="K253" s="1858"/>
      <c r="L253" s="1858"/>
      <c r="M253" s="1858"/>
      <c r="N253" s="1200">
        <f t="shared" ref="N253" si="60">N254</f>
        <v>400</v>
      </c>
      <c r="O253" s="1858"/>
      <c r="P253" s="1858"/>
      <c r="Q253" s="1858"/>
      <c r="R253" s="1858"/>
      <c r="S253" s="1858"/>
      <c r="T253" s="1858"/>
      <c r="U253" s="1682">
        <f>U254+U261</f>
        <v>2000</v>
      </c>
    </row>
    <row r="254" spans="1:21" ht="21" x14ac:dyDescent="0.25">
      <c r="A254" s="1234"/>
      <c r="B254" s="1239" t="s">
        <v>193</v>
      </c>
      <c r="C254" s="1217"/>
      <c r="D254" s="1217" t="s">
        <v>463</v>
      </c>
      <c r="E254" s="1217" t="s">
        <v>488</v>
      </c>
      <c r="F254" s="1217" t="s">
        <v>191</v>
      </c>
      <c r="G254" s="1664"/>
      <c r="H254" s="1682">
        <f>H256+H258</f>
        <v>1600</v>
      </c>
      <c r="I254" s="529">
        <f>I256</f>
        <v>0</v>
      </c>
      <c r="J254" s="270">
        <f>J256</f>
        <v>0</v>
      </c>
      <c r="K254" s="1858"/>
      <c r="L254" s="1858"/>
      <c r="M254" s="1858"/>
      <c r="N254" s="1200">
        <f>N256</f>
        <v>400</v>
      </c>
      <c r="O254" s="1858"/>
      <c r="P254" s="1858"/>
      <c r="Q254" s="1858"/>
      <c r="R254" s="1858"/>
      <c r="S254" s="1858"/>
      <c r="T254" s="1858"/>
      <c r="U254" s="1682">
        <f>U256</f>
        <v>400</v>
      </c>
    </row>
    <row r="255" spans="1:21" x14ac:dyDescent="0.25">
      <c r="A255" s="1234"/>
      <c r="B255" s="753" t="s">
        <v>948</v>
      </c>
      <c r="C255" s="1217"/>
      <c r="D255" s="1217" t="s">
        <v>463</v>
      </c>
      <c r="E255" s="1217" t="s">
        <v>488</v>
      </c>
      <c r="F255" s="1217" t="s">
        <v>191</v>
      </c>
      <c r="G255" s="1664" t="s">
        <v>955</v>
      </c>
      <c r="H255" s="1682">
        <f t="shared" ref="H255:U255" si="61">H256</f>
        <v>400</v>
      </c>
      <c r="I255" s="529">
        <f t="shared" si="61"/>
        <v>0</v>
      </c>
      <c r="J255" s="404">
        <f t="shared" si="61"/>
        <v>0</v>
      </c>
      <c r="K255" s="1858">
        <f t="shared" si="61"/>
        <v>0</v>
      </c>
      <c r="L255" s="1858">
        <f t="shared" si="61"/>
        <v>0</v>
      </c>
      <c r="M255" s="1858">
        <f t="shared" si="61"/>
        <v>0</v>
      </c>
      <c r="N255" s="1200">
        <f t="shared" si="61"/>
        <v>400</v>
      </c>
      <c r="O255" s="1858">
        <f t="shared" si="61"/>
        <v>0</v>
      </c>
      <c r="P255" s="1858">
        <f t="shared" si="61"/>
        <v>0</v>
      </c>
      <c r="Q255" s="1858">
        <f t="shared" si="61"/>
        <v>0</v>
      </c>
      <c r="R255" s="1858">
        <f t="shared" si="61"/>
        <v>0</v>
      </c>
      <c r="S255" s="1858">
        <f t="shared" si="61"/>
        <v>0</v>
      </c>
      <c r="T255" s="1858">
        <f t="shared" si="61"/>
        <v>0</v>
      </c>
      <c r="U255" s="1682">
        <f t="shared" si="61"/>
        <v>400</v>
      </c>
    </row>
    <row r="256" spans="1:21" ht="21" x14ac:dyDescent="0.25">
      <c r="A256" s="1234"/>
      <c r="B256" s="1182" t="s">
        <v>454</v>
      </c>
      <c r="C256" s="409"/>
      <c r="D256" s="1217" t="s">
        <v>463</v>
      </c>
      <c r="E256" s="1217" t="s">
        <v>488</v>
      </c>
      <c r="F256" s="1217" t="s">
        <v>191</v>
      </c>
      <c r="G256" s="1662" t="s">
        <v>1</v>
      </c>
      <c r="H256" s="1682">
        <v>400</v>
      </c>
      <c r="I256" s="529"/>
      <c r="J256" s="269"/>
      <c r="K256" s="1858"/>
      <c r="L256" s="1858"/>
      <c r="M256" s="1858"/>
      <c r="N256" s="1200">
        <v>400</v>
      </c>
      <c r="O256" s="1858"/>
      <c r="P256" s="1858"/>
      <c r="Q256" s="1858"/>
      <c r="R256" s="1858"/>
      <c r="S256" s="1858"/>
      <c r="T256" s="1858"/>
      <c r="U256" s="1682">
        <v>400</v>
      </c>
    </row>
    <row r="257" spans="1:27" x14ac:dyDescent="0.25">
      <c r="A257" s="1234"/>
      <c r="B257" s="1242" t="s">
        <v>1061</v>
      </c>
      <c r="C257" s="409"/>
      <c r="D257" s="1217" t="s">
        <v>463</v>
      </c>
      <c r="E257" s="1217" t="s">
        <v>488</v>
      </c>
      <c r="F257" s="1217" t="s">
        <v>191</v>
      </c>
      <c r="G257" s="1662" t="s">
        <v>1060</v>
      </c>
      <c r="H257" s="1682">
        <f>H258</f>
        <v>1200</v>
      </c>
      <c r="I257" s="529"/>
      <c r="J257" s="404"/>
      <c r="K257" s="1858"/>
      <c r="L257" s="1858"/>
      <c r="M257" s="1858"/>
      <c r="N257" s="1200">
        <v>0</v>
      </c>
      <c r="O257" s="1858"/>
      <c r="P257" s="1858"/>
      <c r="Q257" s="1858"/>
      <c r="R257" s="1858"/>
      <c r="S257" s="1858"/>
      <c r="T257" s="1858"/>
      <c r="U257" s="1682">
        <v>0</v>
      </c>
    </row>
    <row r="258" spans="1:27" x14ac:dyDescent="0.25">
      <c r="A258" s="1234"/>
      <c r="B258" s="1182" t="s">
        <v>481</v>
      </c>
      <c r="C258" s="409"/>
      <c r="D258" s="1217" t="s">
        <v>463</v>
      </c>
      <c r="E258" s="1217" t="s">
        <v>488</v>
      </c>
      <c r="F258" s="1217" t="s">
        <v>191</v>
      </c>
      <c r="G258" s="1662" t="s">
        <v>26</v>
      </c>
      <c r="H258" s="1682">
        <v>1200</v>
      </c>
      <c r="I258" s="529"/>
      <c r="J258" s="404"/>
      <c r="K258" s="1858"/>
      <c r="L258" s="1858"/>
      <c r="M258" s="1858"/>
      <c r="N258" s="1200">
        <v>0</v>
      </c>
      <c r="O258" s="1858"/>
      <c r="P258" s="1858"/>
      <c r="Q258" s="1858"/>
      <c r="R258" s="1858"/>
      <c r="S258" s="1858"/>
      <c r="T258" s="1858"/>
      <c r="U258" s="1682">
        <v>0</v>
      </c>
    </row>
    <row r="259" spans="1:27" ht="21.65" customHeight="1" x14ac:dyDescent="0.25">
      <c r="A259" s="1234"/>
      <c r="B259" s="1242" t="s">
        <v>193</v>
      </c>
      <c r="C259" s="409"/>
      <c r="D259" s="1217" t="s">
        <v>463</v>
      </c>
      <c r="E259" s="1217" t="s">
        <v>488</v>
      </c>
      <c r="F259" s="1217" t="s">
        <v>1008</v>
      </c>
      <c r="G259" s="1662"/>
      <c r="H259" s="1682">
        <f>H261</f>
        <v>666.66699999999992</v>
      </c>
      <c r="I259" s="529"/>
      <c r="J259" s="404"/>
      <c r="K259" s="1858"/>
      <c r="L259" s="1858"/>
      <c r="M259" s="1858"/>
      <c r="N259" s="1200">
        <f>N261</f>
        <v>1700</v>
      </c>
      <c r="O259" s="1858"/>
      <c r="P259" s="1858"/>
      <c r="Q259" s="1858"/>
      <c r="R259" s="1858"/>
      <c r="S259" s="1858"/>
      <c r="T259" s="1858"/>
      <c r="U259" s="1682">
        <f>U261</f>
        <v>1600</v>
      </c>
    </row>
    <row r="260" spans="1:27" ht="14.5" customHeight="1" x14ac:dyDescent="0.25">
      <c r="A260" s="1234"/>
      <c r="B260" s="1242" t="s">
        <v>1061</v>
      </c>
      <c r="C260" s="409"/>
      <c r="D260" s="1217" t="s">
        <v>463</v>
      </c>
      <c r="E260" s="1217" t="s">
        <v>488</v>
      </c>
      <c r="F260" s="1217" t="s">
        <v>1008</v>
      </c>
      <c r="G260" s="1662" t="s">
        <v>1060</v>
      </c>
      <c r="H260" s="1682">
        <f t="shared" ref="H260:U260" si="62">H261</f>
        <v>666.66699999999992</v>
      </c>
      <c r="I260" s="529">
        <f t="shared" si="62"/>
        <v>0</v>
      </c>
      <c r="J260" s="404">
        <f t="shared" si="62"/>
        <v>0</v>
      </c>
      <c r="K260" s="1858">
        <f t="shared" si="62"/>
        <v>0</v>
      </c>
      <c r="L260" s="1858">
        <f t="shared" si="62"/>
        <v>0</v>
      </c>
      <c r="M260" s="1858">
        <f t="shared" si="62"/>
        <v>0</v>
      </c>
      <c r="N260" s="1200">
        <f t="shared" si="62"/>
        <v>1700</v>
      </c>
      <c r="O260" s="1858">
        <f t="shared" si="62"/>
        <v>0</v>
      </c>
      <c r="P260" s="1858">
        <f t="shared" si="62"/>
        <v>0</v>
      </c>
      <c r="Q260" s="1858">
        <f t="shared" si="62"/>
        <v>0</v>
      </c>
      <c r="R260" s="1858">
        <f t="shared" si="62"/>
        <v>0</v>
      </c>
      <c r="S260" s="1858">
        <f t="shared" si="62"/>
        <v>0</v>
      </c>
      <c r="T260" s="1858">
        <f t="shared" si="62"/>
        <v>0</v>
      </c>
      <c r="U260" s="1682">
        <f t="shared" si="62"/>
        <v>1600</v>
      </c>
    </row>
    <row r="261" spans="1:27" x14ac:dyDescent="0.25">
      <c r="A261" s="1234"/>
      <c r="B261" s="1182" t="s">
        <v>481</v>
      </c>
      <c r="C261" s="409"/>
      <c r="D261" s="1217" t="s">
        <v>463</v>
      </c>
      <c r="E261" s="1217" t="s">
        <v>488</v>
      </c>
      <c r="F261" s="1217" t="s">
        <v>1008</v>
      </c>
      <c r="G261" s="1662" t="s">
        <v>26</v>
      </c>
      <c r="H261" s="1682">
        <f>304.426+362.241</f>
        <v>666.66699999999992</v>
      </c>
      <c r="I261" s="529"/>
      <c r="J261" s="404"/>
      <c r="K261" s="1858"/>
      <c r="L261" s="1858"/>
      <c r="M261" s="1858"/>
      <c r="N261" s="1200">
        <f>1600+95+5</f>
        <v>1700</v>
      </c>
      <c r="O261" s="1858"/>
      <c r="P261" s="1858"/>
      <c r="Q261" s="1858"/>
      <c r="R261" s="1858"/>
      <c r="S261" s="1858"/>
      <c r="T261" s="1858"/>
      <c r="U261" s="1682">
        <f>2100-500</f>
        <v>1600</v>
      </c>
      <c r="AA261" s="1">
        <f>95+5</f>
        <v>100</v>
      </c>
    </row>
    <row r="262" spans="1:27" ht="45.65" customHeight="1" x14ac:dyDescent="0.25">
      <c r="A262" s="1179"/>
      <c r="B262" s="1203" t="s">
        <v>928</v>
      </c>
      <c r="C262" s="409"/>
      <c r="D262" s="409" t="s">
        <v>463</v>
      </c>
      <c r="E262" s="409" t="s">
        <v>488</v>
      </c>
      <c r="F262" s="409" t="s">
        <v>181</v>
      </c>
      <c r="G262" s="1662"/>
      <c r="H262" s="1682">
        <f>H266+H274+H268+H265</f>
        <v>1500</v>
      </c>
      <c r="I262" s="529">
        <f>I263</f>
        <v>3670.8</v>
      </c>
      <c r="J262" s="270">
        <f>J263</f>
        <v>4037.88</v>
      </c>
      <c r="K262" s="1858"/>
      <c r="L262" s="1858"/>
      <c r="M262" s="1858"/>
      <c r="N262" s="1200">
        <f>N272+N274</f>
        <v>1400</v>
      </c>
      <c r="O262" s="1858"/>
      <c r="P262" s="1858"/>
      <c r="Q262" s="1858"/>
      <c r="R262" s="1858"/>
      <c r="S262" s="1858"/>
      <c r="T262" s="1858"/>
      <c r="U262" s="1682">
        <f>U272+U274</f>
        <v>1400</v>
      </c>
    </row>
    <row r="263" spans="1:27" ht="21" hidden="1" x14ac:dyDescent="0.25">
      <c r="A263" s="1240"/>
      <c r="B263" s="1197" t="s">
        <v>180</v>
      </c>
      <c r="C263" s="1217"/>
      <c r="D263" s="1217" t="s">
        <v>463</v>
      </c>
      <c r="E263" s="1217" t="s">
        <v>488</v>
      </c>
      <c r="F263" s="1217" t="s">
        <v>179</v>
      </c>
      <c r="G263" s="1664"/>
      <c r="H263" s="1682">
        <f>H264</f>
        <v>0</v>
      </c>
      <c r="I263" s="529">
        <f>I264</f>
        <v>3670.8</v>
      </c>
      <c r="J263" s="270">
        <f>J264</f>
        <v>4037.88</v>
      </c>
      <c r="K263" s="1862">
        <f>K266</f>
        <v>7000</v>
      </c>
      <c r="L263" s="1858"/>
      <c r="M263" s="1858"/>
      <c r="N263" s="1200">
        <f>N264</f>
        <v>0</v>
      </c>
      <c r="O263" s="1858"/>
      <c r="P263" s="1858"/>
      <c r="Q263" s="1858"/>
      <c r="R263" s="1858"/>
      <c r="S263" s="1858"/>
      <c r="T263" s="1858"/>
      <c r="U263" s="1682">
        <f>U264</f>
        <v>0</v>
      </c>
    </row>
    <row r="264" spans="1:27" ht="30" hidden="1" customHeight="1" x14ac:dyDescent="0.25">
      <c r="A264" s="1240"/>
      <c r="B264" s="1197" t="s">
        <v>23</v>
      </c>
      <c r="C264" s="1217"/>
      <c r="D264" s="1217" t="s">
        <v>463</v>
      </c>
      <c r="E264" s="1217" t="s">
        <v>488</v>
      </c>
      <c r="F264" s="1217" t="s">
        <v>178</v>
      </c>
      <c r="G264" s="1664"/>
      <c r="H264" s="1682">
        <f>H265</f>
        <v>0</v>
      </c>
      <c r="I264" s="529">
        <f>I266+I267</f>
        <v>3670.8</v>
      </c>
      <c r="J264" s="270">
        <f>J266+J267</f>
        <v>4037.88</v>
      </c>
      <c r="K264" s="1858"/>
      <c r="L264" s="1858"/>
      <c r="M264" s="1858"/>
      <c r="N264" s="1200">
        <f>N266+N267</f>
        <v>0</v>
      </c>
      <c r="O264" s="1858"/>
      <c r="P264" s="1858"/>
      <c r="Q264" s="1858"/>
      <c r="R264" s="1858"/>
      <c r="S264" s="1858"/>
      <c r="T264" s="1858"/>
      <c r="U264" s="1682">
        <f>U266+U267</f>
        <v>0</v>
      </c>
    </row>
    <row r="265" spans="1:27" ht="30" hidden="1" customHeight="1" x14ac:dyDescent="0.25">
      <c r="A265" s="1240"/>
      <c r="B265" s="1182" t="s">
        <v>454</v>
      </c>
      <c r="C265" s="409"/>
      <c r="D265" s="1217" t="s">
        <v>463</v>
      </c>
      <c r="E265" s="1217" t="s">
        <v>488</v>
      </c>
      <c r="F265" s="1217" t="s">
        <v>178</v>
      </c>
      <c r="G265" s="1662" t="s">
        <v>1</v>
      </c>
      <c r="H265" s="1682"/>
      <c r="I265" s="529"/>
      <c r="J265" s="404"/>
      <c r="K265" s="1858"/>
      <c r="L265" s="1858"/>
      <c r="M265" s="1858"/>
      <c r="N265" s="1200"/>
      <c r="O265" s="1858"/>
      <c r="P265" s="1858"/>
      <c r="Q265" s="1858"/>
      <c r="R265" s="1858"/>
      <c r="S265" s="1858"/>
      <c r="T265" s="1858"/>
      <c r="U265" s="1682"/>
    </row>
    <row r="266" spans="1:27" hidden="1" x14ac:dyDescent="0.25">
      <c r="A266" s="1229"/>
      <c r="B266" s="1182" t="s">
        <v>481</v>
      </c>
      <c r="C266" s="1217"/>
      <c r="D266" s="1217" t="s">
        <v>463</v>
      </c>
      <c r="E266" s="1217" t="s">
        <v>488</v>
      </c>
      <c r="F266" s="1217" t="s">
        <v>178</v>
      </c>
      <c r="G266" s="1662" t="s">
        <v>26</v>
      </c>
      <c r="H266" s="1867">
        <f>200.001-75.7-124.301</f>
        <v>0</v>
      </c>
      <c r="I266" s="529">
        <v>3670.8</v>
      </c>
      <c r="J266" s="269">
        <v>4037.88</v>
      </c>
      <c r="K266" s="1858">
        <v>7000</v>
      </c>
      <c r="L266" s="1858"/>
      <c r="M266" s="1858"/>
      <c r="N266" s="1200"/>
      <c r="O266" s="1858"/>
      <c r="P266" s="1858"/>
      <c r="Q266" s="1858"/>
      <c r="R266" s="1858"/>
      <c r="S266" s="1858"/>
      <c r="T266" s="1858"/>
      <c r="U266" s="1682"/>
    </row>
    <row r="267" spans="1:27" hidden="1" x14ac:dyDescent="0.25">
      <c r="A267" s="1229"/>
      <c r="B267" s="753" t="s">
        <v>528</v>
      </c>
      <c r="C267" s="1217"/>
      <c r="D267" s="1217" t="s">
        <v>463</v>
      </c>
      <c r="E267" s="1217" t="s">
        <v>488</v>
      </c>
      <c r="F267" s="1217" t="s">
        <v>527</v>
      </c>
      <c r="G267" s="1664"/>
      <c r="H267" s="1682">
        <f>H268</f>
        <v>0</v>
      </c>
      <c r="I267" s="529">
        <f>I268</f>
        <v>0</v>
      </c>
      <c r="J267" s="269">
        <f>J268</f>
        <v>0</v>
      </c>
      <c r="K267" s="1858"/>
      <c r="L267" s="1858"/>
      <c r="M267" s="1858"/>
      <c r="N267" s="1200">
        <f>N268</f>
        <v>0</v>
      </c>
      <c r="O267" s="1858"/>
      <c r="P267" s="1858"/>
      <c r="Q267" s="1858"/>
      <c r="R267" s="1858"/>
      <c r="S267" s="1858"/>
      <c r="T267" s="1858"/>
      <c r="U267" s="1682">
        <f>U268</f>
        <v>0</v>
      </c>
    </row>
    <row r="268" spans="1:27" ht="21" hidden="1" x14ac:dyDescent="0.25">
      <c r="A268" s="1229"/>
      <c r="B268" s="1182" t="s">
        <v>454</v>
      </c>
      <c r="C268" s="409"/>
      <c r="D268" s="1217" t="s">
        <v>463</v>
      </c>
      <c r="E268" s="1217" t="s">
        <v>488</v>
      </c>
      <c r="F268" s="1217" t="s">
        <v>178</v>
      </c>
      <c r="G268" s="1662" t="s">
        <v>1</v>
      </c>
      <c r="H268" s="1682"/>
      <c r="I268" s="529"/>
      <c r="J268" s="269"/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7" ht="21" x14ac:dyDescent="0.25">
      <c r="A269" s="1229"/>
      <c r="B269" s="1197" t="s">
        <v>1009</v>
      </c>
      <c r="C269" s="409"/>
      <c r="D269" s="1217" t="s">
        <v>463</v>
      </c>
      <c r="E269" s="1217" t="s">
        <v>488</v>
      </c>
      <c r="F269" s="1217" t="s">
        <v>1010</v>
      </c>
      <c r="G269" s="1662"/>
      <c r="H269" s="1682">
        <f>H270</f>
        <v>1500</v>
      </c>
      <c r="I269" s="529"/>
      <c r="J269" s="404"/>
      <c r="K269" s="1858"/>
      <c r="L269" s="1858"/>
      <c r="M269" s="1858"/>
      <c r="N269" s="1200">
        <f>N270</f>
        <v>1400</v>
      </c>
      <c r="O269" s="1858"/>
      <c r="P269" s="1858"/>
      <c r="Q269" s="1858"/>
      <c r="R269" s="1858"/>
      <c r="S269" s="1858"/>
      <c r="T269" s="1858"/>
      <c r="U269" s="1682">
        <f>U270</f>
        <v>1400</v>
      </c>
    </row>
    <row r="270" spans="1:27" ht="21" customHeight="1" x14ac:dyDescent="0.25">
      <c r="A270" s="1229"/>
      <c r="B270" s="1868" t="s">
        <v>1011</v>
      </c>
      <c r="C270" s="409"/>
      <c r="D270" s="1217" t="s">
        <v>463</v>
      </c>
      <c r="E270" s="1217" t="s">
        <v>488</v>
      </c>
      <c r="F270" s="1231" t="s">
        <v>1012</v>
      </c>
      <c r="G270" s="1662"/>
      <c r="H270" s="1682">
        <f>H274+H272</f>
        <v>1500</v>
      </c>
      <c r="I270" s="529"/>
      <c r="J270" s="404"/>
      <c r="K270" s="1858"/>
      <c r="L270" s="1858"/>
      <c r="M270" s="1858"/>
      <c r="N270" s="1200">
        <f>N274+N272</f>
        <v>1400</v>
      </c>
      <c r="O270" s="1858"/>
      <c r="P270" s="1858"/>
      <c r="Q270" s="1858"/>
      <c r="R270" s="1858"/>
      <c r="S270" s="1858"/>
      <c r="T270" s="1858"/>
      <c r="U270" s="1682">
        <f>U274+U272</f>
        <v>1400</v>
      </c>
    </row>
    <row r="271" spans="1:27" ht="21" customHeight="1" x14ac:dyDescent="0.25">
      <c r="A271" s="1229"/>
      <c r="B271" s="753" t="s">
        <v>948</v>
      </c>
      <c r="C271" s="409"/>
      <c r="D271" s="1217" t="s">
        <v>463</v>
      </c>
      <c r="E271" s="1217" t="s">
        <v>488</v>
      </c>
      <c r="F271" s="1231" t="s">
        <v>1012</v>
      </c>
      <c r="G271" s="1662" t="s">
        <v>955</v>
      </c>
      <c r="H271" s="1682">
        <f t="shared" ref="H271:U271" si="63">H272</f>
        <v>0</v>
      </c>
      <c r="I271" s="529">
        <f t="shared" si="63"/>
        <v>0</v>
      </c>
      <c r="J271" s="404">
        <f t="shared" si="63"/>
        <v>0</v>
      </c>
      <c r="K271" s="1858">
        <f t="shared" si="63"/>
        <v>0</v>
      </c>
      <c r="L271" s="1858">
        <f t="shared" si="63"/>
        <v>0</v>
      </c>
      <c r="M271" s="1858">
        <f t="shared" si="63"/>
        <v>0</v>
      </c>
      <c r="N271" s="1200">
        <f t="shared" si="63"/>
        <v>400</v>
      </c>
      <c r="O271" s="1858">
        <f t="shared" si="63"/>
        <v>0</v>
      </c>
      <c r="P271" s="1858">
        <f t="shared" si="63"/>
        <v>0</v>
      </c>
      <c r="Q271" s="1858">
        <f t="shared" si="63"/>
        <v>0</v>
      </c>
      <c r="R271" s="1858">
        <f t="shared" si="63"/>
        <v>0</v>
      </c>
      <c r="S271" s="1858">
        <f t="shared" si="63"/>
        <v>0</v>
      </c>
      <c r="T271" s="1858">
        <f t="shared" si="63"/>
        <v>0</v>
      </c>
      <c r="U271" s="1682">
        <f t="shared" si="63"/>
        <v>400</v>
      </c>
    </row>
    <row r="272" spans="1:27" ht="21" customHeight="1" x14ac:dyDescent="0.25">
      <c r="A272" s="1229"/>
      <c r="B272" s="1182" t="s">
        <v>454</v>
      </c>
      <c r="C272" s="409"/>
      <c r="D272" s="1217" t="s">
        <v>463</v>
      </c>
      <c r="E272" s="1217" t="s">
        <v>488</v>
      </c>
      <c r="F272" s="1231" t="s">
        <v>1012</v>
      </c>
      <c r="G272" s="1662" t="s">
        <v>1</v>
      </c>
      <c r="H272" s="1682">
        <v>0</v>
      </c>
      <c r="I272" s="529"/>
      <c r="J272" s="404"/>
      <c r="K272" s="1858"/>
      <c r="L272" s="1858"/>
      <c r="M272" s="1858"/>
      <c r="N272" s="1200">
        <v>400</v>
      </c>
      <c r="O272" s="1858"/>
      <c r="P272" s="1858"/>
      <c r="Q272" s="1858"/>
      <c r="R272" s="1858"/>
      <c r="S272" s="1858"/>
      <c r="T272" s="1858"/>
      <c r="U272" s="1682">
        <v>400</v>
      </c>
    </row>
    <row r="273" spans="1:21" ht="21" customHeight="1" x14ac:dyDescent="0.25">
      <c r="A273" s="1229"/>
      <c r="B273" s="1182" t="s">
        <v>1068</v>
      </c>
      <c r="C273" s="409"/>
      <c r="D273" s="1217" t="s">
        <v>463</v>
      </c>
      <c r="E273" s="1217" t="s">
        <v>488</v>
      </c>
      <c r="F273" s="1231" t="s">
        <v>1012</v>
      </c>
      <c r="G273" s="1662" t="s">
        <v>1064</v>
      </c>
      <c r="H273" s="1682">
        <f t="shared" ref="H273:U273" si="64">H274</f>
        <v>1500</v>
      </c>
      <c r="I273" s="529">
        <f t="shared" si="64"/>
        <v>0</v>
      </c>
      <c r="J273" s="404">
        <f t="shared" si="64"/>
        <v>0</v>
      </c>
      <c r="K273" s="1858">
        <f t="shared" si="64"/>
        <v>0</v>
      </c>
      <c r="L273" s="1858">
        <f t="shared" si="64"/>
        <v>0</v>
      </c>
      <c r="M273" s="1858">
        <f t="shared" si="64"/>
        <v>0</v>
      </c>
      <c r="N273" s="1200">
        <f t="shared" si="64"/>
        <v>1000</v>
      </c>
      <c r="O273" s="1858">
        <f t="shared" si="64"/>
        <v>0</v>
      </c>
      <c r="P273" s="1858">
        <f t="shared" si="64"/>
        <v>0</v>
      </c>
      <c r="Q273" s="1858">
        <f t="shared" si="64"/>
        <v>0</v>
      </c>
      <c r="R273" s="1858">
        <f t="shared" si="64"/>
        <v>0</v>
      </c>
      <c r="S273" s="1858">
        <f t="shared" si="64"/>
        <v>0</v>
      </c>
      <c r="T273" s="1858">
        <f t="shared" si="64"/>
        <v>0</v>
      </c>
      <c r="U273" s="1682">
        <f t="shared" si="64"/>
        <v>1000</v>
      </c>
    </row>
    <row r="274" spans="1:21" ht="21" x14ac:dyDescent="0.25">
      <c r="A274" s="1229"/>
      <c r="B274" s="1182" t="s">
        <v>523</v>
      </c>
      <c r="C274" s="409"/>
      <c r="D274" s="1217" t="s">
        <v>463</v>
      </c>
      <c r="E274" s="1217" t="s">
        <v>488</v>
      </c>
      <c r="F274" s="1231" t="s">
        <v>1012</v>
      </c>
      <c r="G274" s="1662" t="s">
        <v>521</v>
      </c>
      <c r="H274" s="1682">
        <v>1500</v>
      </c>
      <c r="I274" s="529"/>
      <c r="J274" s="404"/>
      <c r="K274" s="1858"/>
      <c r="L274" s="1858"/>
      <c r="M274" s="1858"/>
      <c r="N274" s="1200">
        <v>1000</v>
      </c>
      <c r="O274" s="1858"/>
      <c r="P274" s="1858"/>
      <c r="Q274" s="1858"/>
      <c r="R274" s="1858"/>
      <c r="S274" s="1858"/>
      <c r="T274" s="1858"/>
      <c r="U274" s="1682">
        <v>1000</v>
      </c>
    </row>
    <row r="275" spans="1:21" ht="27.75" hidden="1" customHeight="1" x14ac:dyDescent="0.25">
      <c r="A275" s="1240"/>
      <c r="B275" s="753" t="s">
        <v>499</v>
      </c>
      <c r="C275" s="1217"/>
      <c r="D275" s="1217" t="s">
        <v>463</v>
      </c>
      <c r="E275" s="1217" t="s">
        <v>488</v>
      </c>
      <c r="F275" s="409" t="s">
        <v>89</v>
      </c>
      <c r="G275" s="1664"/>
      <c r="H275" s="1682">
        <f>H276</f>
        <v>0</v>
      </c>
      <c r="I275" s="529">
        <f>I276</f>
        <v>0</v>
      </c>
      <c r="J275" s="270">
        <f>J276</f>
        <v>0</v>
      </c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idden="1" x14ac:dyDescent="0.25">
      <c r="A276" s="1240"/>
      <c r="B276" s="1180" t="s">
        <v>109</v>
      </c>
      <c r="C276" s="1217"/>
      <c r="D276" s="1217" t="s">
        <v>463</v>
      </c>
      <c r="E276" s="1217" t="s">
        <v>488</v>
      </c>
      <c r="F276" s="409" t="s">
        <v>581</v>
      </c>
      <c r="G276" s="1664"/>
      <c r="H276" s="1682">
        <f>H277</f>
        <v>0</v>
      </c>
      <c r="I276" s="529">
        <f t="shared" ref="I276:J278" si="65">I277</f>
        <v>0</v>
      </c>
      <c r="J276" s="270">
        <f t="shared" si="65"/>
        <v>0</v>
      </c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5">
      <c r="A277" s="1229"/>
      <c r="B277" s="1180" t="s">
        <v>109</v>
      </c>
      <c r="C277" s="1217"/>
      <c r="D277" s="1217" t="s">
        <v>463</v>
      </c>
      <c r="E277" s="1217" t="s">
        <v>488</v>
      </c>
      <c r="F277" s="409" t="s">
        <v>82</v>
      </c>
      <c r="G277" s="1664"/>
      <c r="H277" s="1682">
        <f>H278</f>
        <v>0</v>
      </c>
      <c r="I277" s="529">
        <f t="shared" si="65"/>
        <v>0</v>
      </c>
      <c r="J277" s="270">
        <f t="shared" si="65"/>
        <v>0</v>
      </c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21" hidden="1" x14ac:dyDescent="0.25">
      <c r="A278" s="1234"/>
      <c r="B278" s="1218" t="s">
        <v>525</v>
      </c>
      <c r="C278" s="409"/>
      <c r="D278" s="1217" t="s">
        <v>463</v>
      </c>
      <c r="E278" s="1217" t="s">
        <v>488</v>
      </c>
      <c r="F278" s="409" t="s">
        <v>524</v>
      </c>
      <c r="G278" s="1662"/>
      <c r="H278" s="1682">
        <f>H279</f>
        <v>0</v>
      </c>
      <c r="I278" s="529">
        <f t="shared" si="65"/>
        <v>0</v>
      </c>
      <c r="J278" s="270">
        <f t="shared" si="65"/>
        <v>0</v>
      </c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5">
      <c r="A279" s="1234"/>
      <c r="B279" s="1182" t="s">
        <v>481</v>
      </c>
      <c r="C279" s="1217"/>
      <c r="D279" s="1217" t="s">
        <v>463</v>
      </c>
      <c r="E279" s="1217" t="s">
        <v>488</v>
      </c>
      <c r="F279" s="409" t="s">
        <v>524</v>
      </c>
      <c r="G279" s="1662" t="s">
        <v>26</v>
      </c>
      <c r="H279" s="1682">
        <f>4900-4900</f>
        <v>0</v>
      </c>
      <c r="I279" s="529"/>
      <c r="J279" s="269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21" hidden="1" x14ac:dyDescent="0.25">
      <c r="A280" s="1234"/>
      <c r="B280" s="1242" t="s">
        <v>929</v>
      </c>
      <c r="C280" s="409"/>
      <c r="D280" s="1217" t="s">
        <v>463</v>
      </c>
      <c r="E280" s="1217" t="s">
        <v>488</v>
      </c>
      <c r="F280" s="1217" t="s">
        <v>89</v>
      </c>
      <c r="G280" s="1662"/>
      <c r="H280" s="1682">
        <f>H281</f>
        <v>0</v>
      </c>
      <c r="I280" s="529"/>
      <c r="J280" s="269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5">
      <c r="A281" s="1234"/>
      <c r="B281" s="753" t="s">
        <v>109</v>
      </c>
      <c r="C281" s="409"/>
      <c r="D281" s="1217" t="s">
        <v>463</v>
      </c>
      <c r="E281" s="1217" t="s">
        <v>488</v>
      </c>
      <c r="F281" s="1217" t="s">
        <v>84</v>
      </c>
      <c r="G281" s="1662"/>
      <c r="H281" s="1682">
        <f>H282</f>
        <v>0</v>
      </c>
      <c r="I281" s="529"/>
      <c r="J281" s="269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5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H284+H292</f>
        <v>0</v>
      </c>
      <c r="I282" s="529"/>
      <c r="J282" s="269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34.5" hidden="1" customHeight="1" x14ac:dyDescent="0.25">
      <c r="A283" s="1234"/>
      <c r="B283" s="753" t="s">
        <v>922</v>
      </c>
      <c r="C283" s="409"/>
      <c r="D283" s="1217" t="s">
        <v>463</v>
      </c>
      <c r="E283" s="1217" t="s">
        <v>488</v>
      </c>
      <c r="F283" s="1217" t="s">
        <v>923</v>
      </c>
      <c r="G283" s="1662"/>
      <c r="H283" s="1682">
        <f>H284</f>
        <v>0</v>
      </c>
      <c r="I283" s="529"/>
      <c r="J283" s="269"/>
      <c r="K283" s="1858"/>
      <c r="L283" s="1858"/>
      <c r="M283" s="1858"/>
      <c r="N283" s="1200"/>
      <c r="O283" s="1858"/>
      <c r="P283" s="1858"/>
      <c r="Q283" s="1858"/>
      <c r="R283" s="1858"/>
      <c r="S283" s="1858"/>
      <c r="T283" s="1858"/>
      <c r="U283" s="1682"/>
    </row>
    <row r="284" spans="1:21" ht="21" hidden="1" x14ac:dyDescent="0.25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923</v>
      </c>
      <c r="G284" s="1662" t="s">
        <v>521</v>
      </c>
      <c r="H284" s="1682"/>
      <c r="I284" s="529"/>
      <c r="J284" s="269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ht="24.75" hidden="1" customHeight="1" x14ac:dyDescent="0.25">
      <c r="A285" s="1234"/>
      <c r="B285" s="1242" t="s">
        <v>930</v>
      </c>
      <c r="C285" s="409"/>
      <c r="D285" s="1217" t="s">
        <v>463</v>
      </c>
      <c r="E285" s="1217" t="s">
        <v>488</v>
      </c>
      <c r="F285" s="1217" t="s">
        <v>925</v>
      </c>
      <c r="G285" s="1662"/>
      <c r="H285" s="1682"/>
      <c r="I285" s="529"/>
      <c r="J285" s="404"/>
      <c r="K285" s="1858"/>
      <c r="L285" s="1858"/>
      <c r="M285" s="1858"/>
      <c r="N285" s="1200"/>
      <c r="O285" s="1858"/>
      <c r="P285" s="1858"/>
      <c r="Q285" s="1858"/>
      <c r="R285" s="1858"/>
      <c r="S285" s="1858"/>
      <c r="T285" s="1858"/>
      <c r="U285" s="1682"/>
    </row>
    <row r="286" spans="1:21" hidden="1" x14ac:dyDescent="0.25">
      <c r="A286" s="1234"/>
      <c r="B286" s="753" t="s">
        <v>109</v>
      </c>
      <c r="C286" s="409"/>
      <c r="D286" s="1217" t="s">
        <v>463</v>
      </c>
      <c r="E286" s="1217" t="s">
        <v>488</v>
      </c>
      <c r="F286" s="1217" t="s">
        <v>925</v>
      </c>
      <c r="G286" s="1662"/>
      <c r="H286" s="1682"/>
      <c r="I286" s="529"/>
      <c r="J286" s="404"/>
      <c r="K286" s="1858"/>
      <c r="L286" s="1858"/>
      <c r="M286" s="1858"/>
      <c r="N286" s="1200"/>
      <c r="O286" s="1858"/>
      <c r="P286" s="1858"/>
      <c r="Q286" s="1858"/>
      <c r="R286" s="1858"/>
      <c r="S286" s="1858"/>
      <c r="T286" s="1858"/>
      <c r="U286" s="1682"/>
    </row>
    <row r="287" spans="1:21" hidden="1" x14ac:dyDescent="0.25">
      <c r="A287" s="1234"/>
      <c r="B287" s="753" t="s">
        <v>109</v>
      </c>
      <c r="C287" s="409"/>
      <c r="D287" s="1217" t="s">
        <v>463</v>
      </c>
      <c r="E287" s="1217" t="s">
        <v>488</v>
      </c>
      <c r="F287" s="1217" t="s">
        <v>925</v>
      </c>
      <c r="G287" s="1662"/>
      <c r="H287" s="1682"/>
      <c r="I287" s="529"/>
      <c r="J287" s="404"/>
      <c r="K287" s="1858"/>
      <c r="L287" s="1858"/>
      <c r="M287" s="1858"/>
      <c r="N287" s="1200"/>
      <c r="O287" s="1858"/>
      <c r="P287" s="1858"/>
      <c r="Q287" s="1858"/>
      <c r="R287" s="1858"/>
      <c r="S287" s="1858"/>
      <c r="T287" s="1858"/>
      <c r="U287" s="1682"/>
    </row>
    <row r="288" spans="1:21" ht="21" hidden="1" x14ac:dyDescent="0.25">
      <c r="A288" s="1234"/>
      <c r="B288" s="753" t="s">
        <v>499</v>
      </c>
      <c r="C288" s="409"/>
      <c r="D288" s="1217" t="s">
        <v>463</v>
      </c>
      <c r="E288" s="1217" t="s">
        <v>488</v>
      </c>
      <c r="F288" s="409" t="s">
        <v>89</v>
      </c>
      <c r="G288" s="1662"/>
      <c r="H288" s="1682">
        <f>H289</f>
        <v>0</v>
      </c>
      <c r="I288" s="529"/>
      <c r="J288" s="404"/>
      <c r="K288" s="1858"/>
      <c r="L288" s="1858"/>
      <c r="M288" s="1858"/>
      <c r="N288" s="1200"/>
      <c r="O288" s="1858"/>
      <c r="P288" s="1858"/>
      <c r="Q288" s="1858"/>
      <c r="R288" s="1858"/>
      <c r="S288" s="1858"/>
      <c r="T288" s="1858"/>
      <c r="U288" s="1682"/>
    </row>
    <row r="289" spans="1:21" hidden="1" x14ac:dyDescent="0.25">
      <c r="A289" s="1234"/>
      <c r="B289" s="753" t="s">
        <v>109</v>
      </c>
      <c r="C289" s="409"/>
      <c r="D289" s="1217" t="s">
        <v>463</v>
      </c>
      <c r="E289" s="1217" t="s">
        <v>488</v>
      </c>
      <c r="F289" s="409" t="s">
        <v>84</v>
      </c>
      <c r="G289" s="1662"/>
      <c r="H289" s="1682">
        <f>H290</f>
        <v>0</v>
      </c>
      <c r="I289" s="529"/>
      <c r="J289" s="404"/>
      <c r="K289" s="1858"/>
      <c r="L289" s="1858"/>
      <c r="M289" s="1858"/>
      <c r="N289" s="1200"/>
      <c r="O289" s="1858"/>
      <c r="P289" s="1858"/>
      <c r="Q289" s="1858"/>
      <c r="R289" s="1858"/>
      <c r="S289" s="1858"/>
      <c r="T289" s="1858"/>
      <c r="U289" s="1682"/>
    </row>
    <row r="290" spans="1:21" hidden="1" x14ac:dyDescent="0.25">
      <c r="A290" s="1234"/>
      <c r="B290" s="753" t="s">
        <v>109</v>
      </c>
      <c r="C290" s="409"/>
      <c r="D290" s="1217" t="s">
        <v>463</v>
      </c>
      <c r="E290" s="1217" t="s">
        <v>488</v>
      </c>
      <c r="F290" s="1217" t="s">
        <v>82</v>
      </c>
      <c r="G290" s="1662"/>
      <c r="H290" s="1682">
        <f>H291</f>
        <v>0</v>
      </c>
      <c r="I290" s="529"/>
      <c r="J290" s="404"/>
      <c r="K290" s="1858"/>
      <c r="L290" s="1858"/>
      <c r="M290" s="1858"/>
      <c r="N290" s="1200"/>
      <c r="O290" s="1858"/>
      <c r="P290" s="1858"/>
      <c r="Q290" s="1858"/>
      <c r="R290" s="1858"/>
      <c r="S290" s="1858"/>
      <c r="T290" s="1858"/>
      <c r="U290" s="1682"/>
    </row>
    <row r="291" spans="1:21" ht="21" hidden="1" x14ac:dyDescent="0.25">
      <c r="A291" s="1234"/>
      <c r="B291" s="1242" t="s">
        <v>930</v>
      </c>
      <c r="C291" s="409"/>
      <c r="D291" s="1217" t="s">
        <v>463</v>
      </c>
      <c r="E291" s="1217" t="s">
        <v>488</v>
      </c>
      <c r="F291" s="1217" t="s">
        <v>925</v>
      </c>
      <c r="G291" s="1662"/>
      <c r="H291" s="1682">
        <f>H292</f>
        <v>0</v>
      </c>
      <c r="I291" s="529"/>
      <c r="J291" s="404"/>
      <c r="K291" s="1858"/>
      <c r="L291" s="1858"/>
      <c r="M291" s="1858"/>
      <c r="N291" s="1200">
        <f>N292</f>
        <v>0</v>
      </c>
      <c r="O291" s="1858"/>
      <c r="P291" s="1858"/>
      <c r="Q291" s="1858"/>
      <c r="R291" s="1858"/>
      <c r="S291" s="1858"/>
      <c r="T291" s="1858"/>
      <c r="U291" s="1682">
        <f>U292</f>
        <v>0</v>
      </c>
    </row>
    <row r="292" spans="1:21" ht="21" hidden="1" x14ac:dyDescent="0.25">
      <c r="A292" s="1234"/>
      <c r="B292" s="1182" t="s">
        <v>523</v>
      </c>
      <c r="C292" s="409"/>
      <c r="D292" s="1217" t="s">
        <v>463</v>
      </c>
      <c r="E292" s="1217" t="s">
        <v>488</v>
      </c>
      <c r="F292" s="1217" t="s">
        <v>925</v>
      </c>
      <c r="G292" s="1662" t="s">
        <v>521</v>
      </c>
      <c r="H292" s="1682"/>
      <c r="I292" s="529"/>
      <c r="J292" s="404"/>
      <c r="K292" s="1858"/>
      <c r="L292" s="1858"/>
      <c r="M292" s="1858"/>
      <c r="N292" s="1200"/>
      <c r="O292" s="1858"/>
      <c r="P292" s="1858"/>
      <c r="Q292" s="1858"/>
      <c r="R292" s="1858"/>
      <c r="S292" s="1858"/>
      <c r="T292" s="1858"/>
      <c r="U292" s="1682"/>
    </row>
    <row r="293" spans="1:21" x14ac:dyDescent="0.25">
      <c r="A293" s="1229"/>
      <c r="B293" s="1225" t="s">
        <v>34</v>
      </c>
      <c r="C293" s="1227"/>
      <c r="D293" s="1227" t="s">
        <v>463</v>
      </c>
      <c r="E293" s="1227" t="s">
        <v>495</v>
      </c>
      <c r="F293" s="1227"/>
      <c r="G293" s="1665"/>
      <c r="H293" s="1684">
        <f>H294+H336+H346+H351+H358+H324+H331</f>
        <v>51513.483999999997</v>
      </c>
      <c r="I293" s="853">
        <f>I294+I302</f>
        <v>13543.38</v>
      </c>
      <c r="J293" s="400">
        <f>J294+J302</f>
        <v>9788.7259999999987</v>
      </c>
      <c r="K293" s="1858"/>
      <c r="L293" s="1858"/>
      <c r="M293" s="1858"/>
      <c r="N293" s="1228">
        <f>N294+N336+N346+N351+N358+N324+N331</f>
        <v>44056.88</v>
      </c>
      <c r="O293" s="1858"/>
      <c r="P293" s="1858"/>
      <c r="Q293" s="1858"/>
      <c r="R293" s="1858"/>
      <c r="S293" s="1858"/>
      <c r="T293" s="1858"/>
      <c r="U293" s="1684">
        <f>U294+U336+U346+U351+U358+U324+U331</f>
        <v>44290.080000000002</v>
      </c>
    </row>
    <row r="294" spans="1:21" ht="24" customHeight="1" x14ac:dyDescent="0.25">
      <c r="A294" s="1179"/>
      <c r="B294" s="1243" t="s">
        <v>931</v>
      </c>
      <c r="C294" s="409"/>
      <c r="D294" s="409" t="s">
        <v>463</v>
      </c>
      <c r="E294" s="409" t="s">
        <v>495</v>
      </c>
      <c r="F294" s="409" t="s">
        <v>189</v>
      </c>
      <c r="G294" s="1662"/>
      <c r="H294" s="1682">
        <f>H295+H302</f>
        <v>31670.397000000001</v>
      </c>
      <c r="I294" s="529">
        <f>I295</f>
        <v>10043.379999999999</v>
      </c>
      <c r="J294" s="270">
        <f>J295</f>
        <v>6288.7259999999997</v>
      </c>
      <c r="K294" s="1862">
        <f>K298+K301+K340+K345+K367</f>
        <v>2750</v>
      </c>
      <c r="L294" s="1858"/>
      <c r="M294" s="1858"/>
      <c r="N294" s="1200">
        <f>N295</f>
        <v>32046.879999999997</v>
      </c>
      <c r="O294" s="1858"/>
      <c r="P294" s="1858"/>
      <c r="Q294" s="1858"/>
      <c r="R294" s="1858"/>
      <c r="S294" s="1858"/>
      <c r="T294" s="1858"/>
      <c r="U294" s="1682">
        <f>U295</f>
        <v>33196.879999999997</v>
      </c>
    </row>
    <row r="295" spans="1:21" ht="31.5" x14ac:dyDescent="0.25">
      <c r="A295" s="842"/>
      <c r="B295" s="1197" t="s">
        <v>188</v>
      </c>
      <c r="C295" s="408"/>
      <c r="D295" s="409" t="s">
        <v>463</v>
      </c>
      <c r="E295" s="409" t="s">
        <v>495</v>
      </c>
      <c r="F295" s="409" t="s">
        <v>187</v>
      </c>
      <c r="G295" s="1661"/>
      <c r="H295" s="1682">
        <f>H296+H299</f>
        <v>31541.972000000002</v>
      </c>
      <c r="I295" s="529">
        <f>I296+I299</f>
        <v>10043.379999999999</v>
      </c>
      <c r="J295" s="270">
        <f>J296+J299</f>
        <v>6288.7259999999997</v>
      </c>
      <c r="K295" s="1858"/>
      <c r="L295" s="1858"/>
      <c r="M295" s="1858"/>
      <c r="N295" s="1200">
        <f>N296+N299</f>
        <v>32046.879999999997</v>
      </c>
      <c r="O295" s="1858"/>
      <c r="P295" s="1858"/>
      <c r="Q295" s="1858"/>
      <c r="R295" s="1858"/>
      <c r="S295" s="1858"/>
      <c r="T295" s="1858"/>
      <c r="U295" s="1682">
        <f>U296+U299</f>
        <v>33196.879999999997</v>
      </c>
    </row>
    <row r="296" spans="1:21" ht="28.5" customHeight="1" x14ac:dyDescent="0.25">
      <c r="A296" s="1179"/>
      <c r="B296" s="1205" t="s">
        <v>186</v>
      </c>
      <c r="C296" s="1217"/>
      <c r="D296" s="1217" t="s">
        <v>463</v>
      </c>
      <c r="E296" s="1217" t="s">
        <v>495</v>
      </c>
      <c r="F296" s="1217" t="s">
        <v>185</v>
      </c>
      <c r="G296" s="1664"/>
      <c r="H296" s="1682">
        <f>H298</f>
        <v>3642.6390000000001</v>
      </c>
      <c r="I296" s="529">
        <f>I298</f>
        <v>10043.379999999999</v>
      </c>
      <c r="J296" s="270">
        <f>J298</f>
        <v>6288.7259999999997</v>
      </c>
      <c r="K296" s="1858"/>
      <c r="L296" s="1858"/>
      <c r="M296" s="1858"/>
      <c r="N296" s="1200">
        <f>N298</f>
        <v>3840.1530000000002</v>
      </c>
      <c r="O296" s="1858"/>
      <c r="P296" s="1858"/>
      <c r="Q296" s="1858"/>
      <c r="R296" s="1858"/>
      <c r="S296" s="1858"/>
      <c r="T296" s="1858"/>
      <c r="U296" s="1682">
        <f>U298</f>
        <v>3233.6149999999998</v>
      </c>
    </row>
    <row r="297" spans="1:21" ht="19.5" customHeight="1" x14ac:dyDescent="0.25">
      <c r="A297" s="1179"/>
      <c r="B297" s="753" t="s">
        <v>948</v>
      </c>
      <c r="C297" s="1217"/>
      <c r="D297" s="1217" t="s">
        <v>463</v>
      </c>
      <c r="E297" s="1217" t="s">
        <v>495</v>
      </c>
      <c r="F297" s="1217" t="s">
        <v>185</v>
      </c>
      <c r="G297" s="1664" t="s">
        <v>955</v>
      </c>
      <c r="H297" s="1682">
        <f t="shared" ref="H297:U297" si="66">H298</f>
        <v>3642.6390000000001</v>
      </c>
      <c r="I297" s="529">
        <f t="shared" si="66"/>
        <v>10043.379999999999</v>
      </c>
      <c r="J297" s="404">
        <f t="shared" si="66"/>
        <v>6288.7259999999997</v>
      </c>
      <c r="K297" s="1858">
        <f t="shared" si="66"/>
        <v>2300</v>
      </c>
      <c r="L297" s="1858">
        <f t="shared" si="66"/>
        <v>0</v>
      </c>
      <c r="M297" s="1858">
        <f t="shared" si="66"/>
        <v>0</v>
      </c>
      <c r="N297" s="1200">
        <f t="shared" si="66"/>
        <v>3840.1530000000002</v>
      </c>
      <c r="O297" s="1858">
        <f t="shared" si="66"/>
        <v>0</v>
      </c>
      <c r="P297" s="1858">
        <f t="shared" si="66"/>
        <v>0</v>
      </c>
      <c r="Q297" s="1858">
        <f t="shared" si="66"/>
        <v>0</v>
      </c>
      <c r="R297" s="1858">
        <f t="shared" si="66"/>
        <v>0</v>
      </c>
      <c r="S297" s="1858">
        <f t="shared" si="66"/>
        <v>0</v>
      </c>
      <c r="T297" s="1858">
        <f t="shared" si="66"/>
        <v>0</v>
      </c>
      <c r="U297" s="1682">
        <f t="shared" si="66"/>
        <v>3233.6149999999998</v>
      </c>
    </row>
    <row r="298" spans="1:21" ht="21" x14ac:dyDescent="0.25">
      <c r="A298" s="1179"/>
      <c r="B298" s="1182" t="s">
        <v>454</v>
      </c>
      <c r="C298" s="409"/>
      <c r="D298" s="1217" t="s">
        <v>463</v>
      </c>
      <c r="E298" s="1217" t="s">
        <v>495</v>
      </c>
      <c r="F298" s="1217" t="s">
        <v>185</v>
      </c>
      <c r="G298" s="1662" t="s">
        <v>1</v>
      </c>
      <c r="H298" s="1682">
        <v>3642.6390000000001</v>
      </c>
      <c r="I298" s="529">
        <v>10043.379999999999</v>
      </c>
      <c r="J298" s="269">
        <v>6288.7259999999997</v>
      </c>
      <c r="K298" s="1858">
        <v>2300</v>
      </c>
      <c r="L298" s="1858"/>
      <c r="M298" s="1858"/>
      <c r="N298" s="1200">
        <f>5490.153-1650</f>
        <v>3840.1530000000002</v>
      </c>
      <c r="O298" s="1858"/>
      <c r="P298" s="1858"/>
      <c r="Q298" s="1858"/>
      <c r="R298" s="1858"/>
      <c r="S298" s="1858"/>
      <c r="T298" s="1858"/>
      <c r="U298" s="1682">
        <f>4233.615-1000</f>
        <v>3233.6149999999998</v>
      </c>
    </row>
    <row r="299" spans="1:21" ht="25.5" customHeight="1" x14ac:dyDescent="0.25">
      <c r="A299" s="1179"/>
      <c r="B299" s="1205" t="s">
        <v>184</v>
      </c>
      <c r="C299" s="409"/>
      <c r="D299" s="1217" t="s">
        <v>463</v>
      </c>
      <c r="E299" s="1217" t="s">
        <v>495</v>
      </c>
      <c r="F299" s="1217" t="s">
        <v>183</v>
      </c>
      <c r="G299" s="1662"/>
      <c r="H299" s="1682">
        <f>H301+H319</f>
        <v>27899.333000000002</v>
      </c>
      <c r="I299" s="529">
        <f>I301</f>
        <v>0</v>
      </c>
      <c r="J299" s="269">
        <f>J301</f>
        <v>0</v>
      </c>
      <c r="K299" s="1858"/>
      <c r="L299" s="1858"/>
      <c r="M299" s="1858"/>
      <c r="N299" s="1200">
        <f>N301+N319</f>
        <v>28206.726999999999</v>
      </c>
      <c r="O299" s="1858"/>
      <c r="P299" s="1858"/>
      <c r="Q299" s="1858"/>
      <c r="R299" s="1858"/>
      <c r="S299" s="1858"/>
      <c r="T299" s="1858"/>
      <c r="U299" s="1682">
        <f>U301+U319</f>
        <v>29963.264999999999</v>
      </c>
    </row>
    <row r="300" spans="1:21" ht="17.149999999999999" customHeight="1" x14ac:dyDescent="0.25">
      <c r="A300" s="1179"/>
      <c r="B300" s="753" t="s">
        <v>948</v>
      </c>
      <c r="C300" s="409"/>
      <c r="D300" s="1217" t="s">
        <v>463</v>
      </c>
      <c r="E300" s="1217" t="s">
        <v>495</v>
      </c>
      <c r="F300" s="1217" t="s">
        <v>183</v>
      </c>
      <c r="G300" s="1662" t="s">
        <v>955</v>
      </c>
      <c r="H300" s="1682">
        <f t="shared" ref="H300:U300" si="67">H301</f>
        <v>27899.333000000002</v>
      </c>
      <c r="I300" s="529">
        <f t="shared" si="67"/>
        <v>0</v>
      </c>
      <c r="J300" s="269">
        <f t="shared" si="67"/>
        <v>0</v>
      </c>
      <c r="K300" s="1858">
        <f t="shared" si="67"/>
        <v>0</v>
      </c>
      <c r="L300" s="1858">
        <f t="shared" si="67"/>
        <v>0</v>
      </c>
      <c r="M300" s="1858">
        <f t="shared" si="67"/>
        <v>0</v>
      </c>
      <c r="N300" s="1200">
        <f t="shared" si="67"/>
        <v>28206.726999999999</v>
      </c>
      <c r="O300" s="1858">
        <f t="shared" si="67"/>
        <v>0</v>
      </c>
      <c r="P300" s="1858">
        <f t="shared" si="67"/>
        <v>0</v>
      </c>
      <c r="Q300" s="1858">
        <f t="shared" si="67"/>
        <v>0</v>
      </c>
      <c r="R300" s="1858">
        <f t="shared" si="67"/>
        <v>0</v>
      </c>
      <c r="S300" s="1858">
        <f t="shared" si="67"/>
        <v>0</v>
      </c>
      <c r="T300" s="1858">
        <f t="shared" si="67"/>
        <v>0</v>
      </c>
      <c r="U300" s="1682">
        <f t="shared" si="67"/>
        <v>29963.264999999999</v>
      </c>
    </row>
    <row r="301" spans="1:21" ht="21.75" customHeight="1" x14ac:dyDescent="0.25">
      <c r="A301" s="1179"/>
      <c r="B301" s="1182" t="s">
        <v>454</v>
      </c>
      <c r="C301" s="409"/>
      <c r="D301" s="1217" t="s">
        <v>463</v>
      </c>
      <c r="E301" s="1217" t="s">
        <v>495</v>
      </c>
      <c r="F301" s="1217" t="s">
        <v>183</v>
      </c>
      <c r="G301" s="1662" t="s">
        <v>1</v>
      </c>
      <c r="H301" s="1682">
        <f>26117.34-6.425+1788.418</f>
        <v>27899.333000000002</v>
      </c>
      <c r="I301" s="529"/>
      <c r="J301" s="269"/>
      <c r="K301" s="1859"/>
      <c r="L301" s="1858"/>
      <c r="M301" s="1858"/>
      <c r="N301" s="1200">
        <v>28206.726999999999</v>
      </c>
      <c r="O301" s="1858"/>
      <c r="P301" s="1858"/>
      <c r="Q301" s="1858"/>
      <c r="R301" s="1858"/>
      <c r="S301" s="1858"/>
      <c r="T301" s="1858"/>
      <c r="U301" s="1682">
        <f>30463.265-500</f>
        <v>29963.264999999999</v>
      </c>
    </row>
    <row r="302" spans="1:21" ht="21" x14ac:dyDescent="0.25">
      <c r="A302" s="842"/>
      <c r="B302" s="1197" t="s">
        <v>1121</v>
      </c>
      <c r="C302" s="408"/>
      <c r="D302" s="409" t="s">
        <v>463</v>
      </c>
      <c r="E302" s="409" t="s">
        <v>495</v>
      </c>
      <c r="F302" s="409" t="s">
        <v>1120</v>
      </c>
      <c r="G302" s="1661"/>
      <c r="H302" s="1683">
        <f>H303+H307</f>
        <v>128.42500000000001</v>
      </c>
      <c r="I302" s="841">
        <f>I303+I307</f>
        <v>3500</v>
      </c>
      <c r="J302" s="276">
        <f>J303+J307</f>
        <v>3500</v>
      </c>
      <c r="K302" s="1858"/>
      <c r="L302" s="1858"/>
      <c r="M302" s="1858"/>
      <c r="N302" s="1208">
        <f>N303+N307</f>
        <v>0</v>
      </c>
      <c r="O302" s="1858"/>
      <c r="P302" s="1858"/>
      <c r="Q302" s="1858"/>
      <c r="R302" s="1858"/>
      <c r="S302" s="1858"/>
      <c r="T302" s="1858"/>
      <c r="U302" s="1683">
        <f>U303+U307</f>
        <v>0</v>
      </c>
    </row>
    <row r="303" spans="1:21" x14ac:dyDescent="0.25">
      <c r="A303" s="1245"/>
      <c r="B303" s="2314" t="s">
        <v>1122</v>
      </c>
      <c r="C303" s="1217"/>
      <c r="D303" s="1217" t="s">
        <v>463</v>
      </c>
      <c r="E303" s="1217" t="s">
        <v>495</v>
      </c>
      <c r="F303" s="409" t="s">
        <v>1119</v>
      </c>
      <c r="G303" s="1664"/>
      <c r="H303" s="1682">
        <f>H305</f>
        <v>128.42500000000001</v>
      </c>
      <c r="I303" s="529">
        <f t="shared" ref="H303:J305" si="68">I304</f>
        <v>3500</v>
      </c>
      <c r="J303" s="269">
        <f t="shared" si="68"/>
        <v>3500</v>
      </c>
      <c r="K303" s="1858"/>
      <c r="L303" s="1858"/>
      <c r="M303" s="1858"/>
      <c r="N303" s="1200">
        <f>N305</f>
        <v>0</v>
      </c>
      <c r="O303" s="1858"/>
      <c r="P303" s="1858"/>
      <c r="Q303" s="1858"/>
      <c r="R303" s="1858"/>
      <c r="S303" s="1858"/>
      <c r="T303" s="1858"/>
      <c r="U303" s="1682">
        <f>U305</f>
        <v>0</v>
      </c>
    </row>
    <row r="304" spans="1:21" x14ac:dyDescent="0.25">
      <c r="A304" s="842"/>
      <c r="B304" s="753" t="s">
        <v>948</v>
      </c>
      <c r="C304" s="408"/>
      <c r="D304" s="409" t="s">
        <v>463</v>
      </c>
      <c r="E304" s="409" t="s">
        <v>495</v>
      </c>
      <c r="F304" s="409" t="s">
        <v>1119</v>
      </c>
      <c r="G304" s="1664" t="s">
        <v>955</v>
      </c>
      <c r="H304" s="1682">
        <f t="shared" si="68"/>
        <v>128.42500000000001</v>
      </c>
      <c r="I304" s="529">
        <f t="shared" si="68"/>
        <v>3500</v>
      </c>
      <c r="J304" s="269">
        <f t="shared" si="68"/>
        <v>3500</v>
      </c>
      <c r="K304" s="1858"/>
      <c r="L304" s="1858"/>
      <c r="M304" s="1858"/>
      <c r="N304" s="1200">
        <f t="shared" ref="N304:N305" si="69">N305</f>
        <v>0</v>
      </c>
      <c r="O304" s="1858"/>
      <c r="P304" s="1858"/>
      <c r="Q304" s="1858"/>
      <c r="R304" s="1858"/>
      <c r="S304" s="1858"/>
      <c r="T304" s="1858"/>
      <c r="U304" s="1682">
        <f t="shared" ref="U304:U305" si="70">U305</f>
        <v>0</v>
      </c>
    </row>
    <row r="305" spans="1:21" ht="21" x14ac:dyDescent="0.25">
      <c r="A305" s="1245"/>
      <c r="B305" s="1182" t="s">
        <v>454</v>
      </c>
      <c r="C305" s="1217"/>
      <c r="D305" s="1217" t="s">
        <v>463</v>
      </c>
      <c r="E305" s="1217" t="s">
        <v>495</v>
      </c>
      <c r="F305" s="409" t="s">
        <v>1119</v>
      </c>
      <c r="G305" s="1662" t="s">
        <v>1</v>
      </c>
      <c r="H305" s="1682">
        <f>122+6.425</f>
        <v>128.42500000000001</v>
      </c>
      <c r="I305" s="529">
        <f t="shared" si="68"/>
        <v>3500</v>
      </c>
      <c r="J305" s="269">
        <f t="shared" si="68"/>
        <v>3500</v>
      </c>
      <c r="K305" s="1858"/>
      <c r="L305" s="1858"/>
      <c r="M305" s="1858"/>
      <c r="N305" s="1200">
        <f t="shared" si="69"/>
        <v>0</v>
      </c>
      <c r="O305" s="1858"/>
      <c r="P305" s="1858"/>
      <c r="Q305" s="1858"/>
      <c r="R305" s="1858"/>
      <c r="S305" s="1858"/>
      <c r="T305" s="1858"/>
      <c r="U305" s="1682">
        <f t="shared" si="70"/>
        <v>0</v>
      </c>
    </row>
    <row r="306" spans="1:21" ht="21" hidden="1" x14ac:dyDescent="0.25">
      <c r="A306" s="1229"/>
      <c r="B306" s="1182" t="s">
        <v>454</v>
      </c>
      <c r="C306" s="409"/>
      <c r="D306" s="1217" t="s">
        <v>463</v>
      </c>
      <c r="E306" s="1217" t="s">
        <v>495</v>
      </c>
      <c r="F306" s="409" t="s">
        <v>1119</v>
      </c>
      <c r="G306" s="1662" t="s">
        <v>1</v>
      </c>
      <c r="H306" s="1682">
        <v>0</v>
      </c>
      <c r="I306" s="529">
        <v>3500</v>
      </c>
      <c r="J306" s="269">
        <v>3500</v>
      </c>
      <c r="K306" s="1858"/>
      <c r="L306" s="1858"/>
      <c r="M306" s="1858"/>
      <c r="N306" s="1200">
        <v>0</v>
      </c>
      <c r="O306" s="1858"/>
      <c r="P306" s="1858"/>
      <c r="Q306" s="1858"/>
      <c r="R306" s="1858"/>
      <c r="S306" s="1858"/>
      <c r="T306" s="1858"/>
      <c r="U306" s="1682">
        <v>0</v>
      </c>
    </row>
    <row r="307" spans="1:21" ht="21" hidden="1" x14ac:dyDescent="0.25">
      <c r="A307" s="1240"/>
      <c r="B307" s="1219" t="s">
        <v>519</v>
      </c>
      <c r="C307" s="1217"/>
      <c r="D307" s="1217" t="s">
        <v>463</v>
      </c>
      <c r="E307" s="1217" t="s">
        <v>495</v>
      </c>
      <c r="F307" s="1217" t="s">
        <v>518</v>
      </c>
      <c r="G307" s="1664"/>
      <c r="H307" s="1682">
        <f>H308+H313</f>
        <v>0</v>
      </c>
      <c r="I307" s="529">
        <f>I308+I313</f>
        <v>0</v>
      </c>
      <c r="J307" s="269">
        <f>J308+J313</f>
        <v>0</v>
      </c>
      <c r="K307" s="1858"/>
      <c r="L307" s="1858"/>
      <c r="M307" s="1858"/>
      <c r="N307" s="1200">
        <f>N308+N313</f>
        <v>0</v>
      </c>
      <c r="O307" s="1858"/>
      <c r="P307" s="1858"/>
      <c r="Q307" s="1858"/>
      <c r="R307" s="1858"/>
      <c r="S307" s="1858"/>
      <c r="T307" s="1858"/>
      <c r="U307" s="1682">
        <f>U308+U313</f>
        <v>0</v>
      </c>
    </row>
    <row r="308" spans="1:21" ht="31.5" hidden="1" x14ac:dyDescent="0.25">
      <c r="A308" s="1240"/>
      <c r="B308" s="1219" t="s">
        <v>517</v>
      </c>
      <c r="C308" s="1217"/>
      <c r="D308" s="1217" t="s">
        <v>463</v>
      </c>
      <c r="E308" s="1217" t="s">
        <v>495</v>
      </c>
      <c r="F308" s="1217" t="s">
        <v>516</v>
      </c>
      <c r="G308" s="1664"/>
      <c r="H308" s="1682">
        <f>H309+H311</f>
        <v>0</v>
      </c>
      <c r="I308" s="529">
        <f>I309+I311</f>
        <v>0</v>
      </c>
      <c r="J308" s="269">
        <f>J309+J311</f>
        <v>0</v>
      </c>
      <c r="K308" s="1858"/>
      <c r="L308" s="1858"/>
      <c r="M308" s="1858"/>
      <c r="N308" s="1200">
        <f>N309+N311</f>
        <v>0</v>
      </c>
      <c r="O308" s="1858"/>
      <c r="P308" s="1858"/>
      <c r="Q308" s="1858"/>
      <c r="R308" s="1858"/>
      <c r="S308" s="1858"/>
      <c r="T308" s="1858"/>
      <c r="U308" s="1682">
        <f>U309+U311</f>
        <v>0</v>
      </c>
    </row>
    <row r="309" spans="1:21" hidden="1" x14ac:dyDescent="0.25">
      <c r="A309" s="1229"/>
      <c r="B309" s="753" t="s">
        <v>515</v>
      </c>
      <c r="C309" s="1217"/>
      <c r="D309" s="1217" t="s">
        <v>463</v>
      </c>
      <c r="E309" s="1217" t="s">
        <v>495</v>
      </c>
      <c r="F309" s="1217" t="s">
        <v>514</v>
      </c>
      <c r="G309" s="1664"/>
      <c r="H309" s="1682">
        <f>H310</f>
        <v>0</v>
      </c>
      <c r="I309" s="529">
        <f>I310</f>
        <v>0</v>
      </c>
      <c r="J309" s="269">
        <f>J310</f>
        <v>0</v>
      </c>
      <c r="K309" s="1858"/>
      <c r="L309" s="1858"/>
      <c r="M309" s="1858"/>
      <c r="N309" s="1200">
        <f>N310</f>
        <v>0</v>
      </c>
      <c r="O309" s="1858"/>
      <c r="P309" s="1858"/>
      <c r="Q309" s="1858"/>
      <c r="R309" s="1858"/>
      <c r="S309" s="1858"/>
      <c r="T309" s="1858"/>
      <c r="U309" s="1682">
        <f>U310</f>
        <v>0</v>
      </c>
    </row>
    <row r="310" spans="1:21" ht="21" hidden="1" x14ac:dyDescent="0.25">
      <c r="A310" s="1229"/>
      <c r="B310" s="1182" t="s">
        <v>454</v>
      </c>
      <c r="C310" s="409"/>
      <c r="D310" s="1217" t="s">
        <v>463</v>
      </c>
      <c r="E310" s="1217" t="s">
        <v>495</v>
      </c>
      <c r="F310" s="1217" t="s">
        <v>514</v>
      </c>
      <c r="G310" s="1662" t="s">
        <v>1</v>
      </c>
      <c r="H310" s="1682"/>
      <c r="I310" s="529"/>
      <c r="J310" s="269"/>
      <c r="K310" s="1858"/>
      <c r="L310" s="1858"/>
      <c r="M310" s="1858"/>
      <c r="N310" s="1200"/>
      <c r="O310" s="1858"/>
      <c r="P310" s="1858"/>
      <c r="Q310" s="1858"/>
      <c r="R310" s="1858"/>
      <c r="S310" s="1858"/>
      <c r="T310" s="1858"/>
      <c r="U310" s="1682"/>
    </row>
    <row r="311" spans="1:21" ht="21" hidden="1" x14ac:dyDescent="0.25">
      <c r="A311" s="1229"/>
      <c r="B311" s="753" t="s">
        <v>513</v>
      </c>
      <c r="C311" s="1217"/>
      <c r="D311" s="1217" t="s">
        <v>463</v>
      </c>
      <c r="E311" s="1217" t="s">
        <v>495</v>
      </c>
      <c r="F311" s="1217" t="s">
        <v>512</v>
      </c>
      <c r="G311" s="1664"/>
      <c r="H311" s="1682">
        <f>H312</f>
        <v>0</v>
      </c>
      <c r="I311" s="529">
        <f>I312</f>
        <v>0</v>
      </c>
      <c r="J311" s="269">
        <f>J312</f>
        <v>0</v>
      </c>
      <c r="K311" s="1858"/>
      <c r="L311" s="1858"/>
      <c r="M311" s="1858"/>
      <c r="N311" s="1200">
        <f>N312</f>
        <v>0</v>
      </c>
      <c r="O311" s="1858"/>
      <c r="P311" s="1858"/>
      <c r="Q311" s="1858"/>
      <c r="R311" s="1858"/>
      <c r="S311" s="1858"/>
      <c r="T311" s="1858"/>
      <c r="U311" s="1682">
        <f>U312</f>
        <v>0</v>
      </c>
    </row>
    <row r="312" spans="1:21" ht="21" hidden="1" x14ac:dyDescent="0.25">
      <c r="A312" s="1229"/>
      <c r="B312" s="1182" t="s">
        <v>454</v>
      </c>
      <c r="C312" s="409"/>
      <c r="D312" s="1217" t="s">
        <v>463</v>
      </c>
      <c r="E312" s="1217" t="s">
        <v>495</v>
      </c>
      <c r="F312" s="1217" t="s">
        <v>512</v>
      </c>
      <c r="G312" s="1662" t="s">
        <v>1</v>
      </c>
      <c r="H312" s="1682"/>
      <c r="I312" s="529"/>
      <c r="J312" s="269"/>
      <c r="K312" s="1858"/>
      <c r="L312" s="1858"/>
      <c r="M312" s="1858"/>
      <c r="N312" s="1200"/>
      <c r="O312" s="1858"/>
      <c r="P312" s="1858"/>
      <c r="Q312" s="1858"/>
      <c r="R312" s="1858"/>
      <c r="S312" s="1858"/>
      <c r="T312" s="1858"/>
      <c r="U312" s="1682"/>
    </row>
    <row r="313" spans="1:21" ht="21" hidden="1" x14ac:dyDescent="0.25">
      <c r="A313" s="1179"/>
      <c r="B313" s="1247" t="s">
        <v>511</v>
      </c>
      <c r="C313" s="1227"/>
      <c r="D313" s="1248" t="s">
        <v>463</v>
      </c>
      <c r="E313" s="1248" t="s">
        <v>495</v>
      </c>
      <c r="F313" s="1248" t="s">
        <v>510</v>
      </c>
      <c r="G313" s="1666"/>
      <c r="H313" s="1686">
        <f>H314+H318</f>
        <v>0</v>
      </c>
      <c r="I313" s="854">
        <f>I314+I318</f>
        <v>0</v>
      </c>
      <c r="J313" s="406">
        <f>J314+J318</f>
        <v>0</v>
      </c>
      <c r="K313" s="1858"/>
      <c r="L313" s="1858"/>
      <c r="M313" s="1858"/>
      <c r="N313" s="1249">
        <f>N314+N318</f>
        <v>0</v>
      </c>
      <c r="O313" s="1858"/>
      <c r="P313" s="1858"/>
      <c r="Q313" s="1858"/>
      <c r="R313" s="1858"/>
      <c r="S313" s="1858"/>
      <c r="T313" s="1858"/>
      <c r="U313" s="1686">
        <f>U314+U318</f>
        <v>0</v>
      </c>
    </row>
    <row r="314" spans="1:21" hidden="1" x14ac:dyDescent="0.25">
      <c r="A314" s="842"/>
      <c r="B314" s="1224" t="s">
        <v>351</v>
      </c>
      <c r="C314" s="1217"/>
      <c r="D314" s="1217" t="s">
        <v>463</v>
      </c>
      <c r="E314" s="1217" t="s">
        <v>495</v>
      </c>
      <c r="F314" s="1217" t="s">
        <v>508</v>
      </c>
      <c r="G314" s="1664"/>
      <c r="H314" s="1682">
        <f>H315+H316+H317</f>
        <v>0</v>
      </c>
      <c r="I314" s="529">
        <f>I315+I316+I317</f>
        <v>0</v>
      </c>
      <c r="J314" s="269">
        <f>J315+J316+J317</f>
        <v>0</v>
      </c>
      <c r="K314" s="1858"/>
      <c r="L314" s="1858"/>
      <c r="M314" s="1858"/>
      <c r="N314" s="1200">
        <f>N315+N316+N317</f>
        <v>0</v>
      </c>
      <c r="O314" s="1858"/>
      <c r="P314" s="1858"/>
      <c r="Q314" s="1858"/>
      <c r="R314" s="1858"/>
      <c r="S314" s="1858"/>
      <c r="T314" s="1858"/>
      <c r="U314" s="1682">
        <f>U315+U316+U317</f>
        <v>0</v>
      </c>
    </row>
    <row r="315" spans="1:21" hidden="1" x14ac:dyDescent="0.25">
      <c r="A315" s="1179"/>
      <c r="B315" s="1182" t="s">
        <v>458</v>
      </c>
      <c r="C315" s="409"/>
      <c r="D315" s="1217" t="s">
        <v>463</v>
      </c>
      <c r="E315" s="1217" t="s">
        <v>495</v>
      </c>
      <c r="F315" s="1217" t="s">
        <v>508</v>
      </c>
      <c r="G315" s="1662" t="s">
        <v>255</v>
      </c>
      <c r="H315" s="1682"/>
      <c r="I315" s="529"/>
      <c r="J315" s="269"/>
      <c r="K315" s="1858"/>
      <c r="L315" s="1858"/>
      <c r="M315" s="1858"/>
      <c r="N315" s="1200"/>
      <c r="O315" s="1858"/>
      <c r="P315" s="1858"/>
      <c r="Q315" s="1858"/>
      <c r="R315" s="1858"/>
      <c r="S315" s="1858"/>
      <c r="T315" s="1858"/>
      <c r="U315" s="1682"/>
    </row>
    <row r="316" spans="1:21" ht="21" hidden="1" x14ac:dyDescent="0.25">
      <c r="A316" s="1179"/>
      <c r="B316" s="1182" t="s">
        <v>454</v>
      </c>
      <c r="C316" s="409"/>
      <c r="D316" s="1217" t="s">
        <v>463</v>
      </c>
      <c r="E316" s="1217" t="s">
        <v>495</v>
      </c>
      <c r="F316" s="1217" t="s">
        <v>508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idden="1" x14ac:dyDescent="0.25">
      <c r="A317" s="1179"/>
      <c r="B317" s="1182" t="s">
        <v>457</v>
      </c>
      <c r="C317" s="409"/>
      <c r="D317" s="1217" t="s">
        <v>463</v>
      </c>
      <c r="E317" s="1217" t="s">
        <v>495</v>
      </c>
      <c r="F317" s="1217" t="s">
        <v>508</v>
      </c>
      <c r="G317" s="1662" t="s">
        <v>91</v>
      </c>
      <c r="H317" s="1682"/>
      <c r="I317" s="529"/>
      <c r="J317" s="269"/>
      <c r="K317" s="1858"/>
      <c r="L317" s="1858"/>
      <c r="M317" s="1858"/>
      <c r="N317" s="1200"/>
      <c r="O317" s="1858"/>
      <c r="P317" s="1858"/>
      <c r="Q317" s="1858"/>
      <c r="R317" s="1858"/>
      <c r="S317" s="1858"/>
      <c r="T317" s="1858"/>
      <c r="U317" s="1682"/>
    </row>
    <row r="318" spans="1:21" ht="15" hidden="1" customHeight="1" x14ac:dyDescent="0.25">
      <c r="A318" s="842"/>
      <c r="B318" s="1180"/>
      <c r="C318" s="1217"/>
      <c r="D318" s="1217" t="s">
        <v>463</v>
      </c>
      <c r="E318" s="1217" t="s">
        <v>495</v>
      </c>
      <c r="F318" s="1217" t="s">
        <v>183</v>
      </c>
      <c r="G318" s="1664"/>
      <c r="H318" s="1682">
        <f>H319</f>
        <v>0</v>
      </c>
      <c r="I318" s="529">
        <f>I319</f>
        <v>0</v>
      </c>
      <c r="J318" s="269">
        <f>J319</f>
        <v>0</v>
      </c>
      <c r="K318" s="1858"/>
      <c r="L318" s="1858"/>
      <c r="M318" s="1858"/>
      <c r="N318" s="1200">
        <f>N319</f>
        <v>0</v>
      </c>
      <c r="O318" s="1858"/>
      <c r="P318" s="1858"/>
      <c r="Q318" s="1858"/>
      <c r="R318" s="1858"/>
      <c r="S318" s="1858"/>
      <c r="T318" s="1858"/>
      <c r="U318" s="1682">
        <f>U319</f>
        <v>0</v>
      </c>
    </row>
    <row r="319" spans="1:21" ht="30.75" hidden="1" customHeight="1" x14ac:dyDescent="0.25">
      <c r="A319" s="1179"/>
      <c r="B319" s="1191" t="s">
        <v>916</v>
      </c>
      <c r="C319" s="1193"/>
      <c r="D319" s="1531" t="s">
        <v>463</v>
      </c>
      <c r="E319" s="1531" t="s">
        <v>495</v>
      </c>
      <c r="F319" s="1531" t="s">
        <v>183</v>
      </c>
      <c r="G319" s="1663" t="s">
        <v>521</v>
      </c>
      <c r="H319" s="1682">
        <f>722.93+5324.558+935-6982.488</f>
        <v>0</v>
      </c>
      <c r="I319" s="529"/>
      <c r="J319" s="269"/>
      <c r="K319" s="1858"/>
      <c r="L319" s="1858"/>
      <c r="M319" s="1858"/>
      <c r="N319" s="1200">
        <f>722.93+5324.558+935-6982.488</f>
        <v>0</v>
      </c>
      <c r="O319" s="1858"/>
      <c r="P319" s="1858"/>
      <c r="Q319" s="1858"/>
      <c r="R319" s="1858"/>
      <c r="S319" s="1858"/>
      <c r="T319" s="1858"/>
      <c r="U319" s="1682">
        <f>722.93+5324.558+935-6982.488</f>
        <v>0</v>
      </c>
    </row>
    <row r="320" spans="1:21" ht="30.75" hidden="1" customHeight="1" x14ac:dyDescent="0.25">
      <c r="A320" s="732"/>
      <c r="B320" s="1869" t="s">
        <v>1013</v>
      </c>
      <c r="C320" s="1193"/>
      <c r="D320" s="1531" t="s">
        <v>463</v>
      </c>
      <c r="E320" s="1531" t="s">
        <v>495</v>
      </c>
      <c r="F320" s="409" t="s">
        <v>1014</v>
      </c>
      <c r="G320" s="1663"/>
      <c r="H320" s="1682">
        <f>H321</f>
        <v>0</v>
      </c>
      <c r="I320" s="529"/>
      <c r="J320" s="269"/>
      <c r="K320" s="1858"/>
      <c r="L320" s="1858"/>
      <c r="M320" s="1858"/>
      <c r="N320" s="1530"/>
      <c r="O320" s="1858"/>
      <c r="P320" s="1858"/>
      <c r="Q320" s="1858"/>
      <c r="R320" s="1858"/>
      <c r="S320" s="1858"/>
      <c r="T320" s="1858"/>
      <c r="U320" s="1682"/>
    </row>
    <row r="321" spans="1:26" ht="30.75" hidden="1" customHeight="1" x14ac:dyDescent="0.25">
      <c r="A321" s="732"/>
      <c r="B321" s="1870" t="s">
        <v>1015</v>
      </c>
      <c r="C321" s="1193"/>
      <c r="D321" s="1531" t="s">
        <v>463</v>
      </c>
      <c r="E321" s="1531" t="s">
        <v>495</v>
      </c>
      <c r="F321" s="1534" t="s">
        <v>1016</v>
      </c>
      <c r="G321" s="1663"/>
      <c r="H321" s="1682">
        <f>H322</f>
        <v>0</v>
      </c>
      <c r="I321" s="529"/>
      <c r="J321" s="269"/>
      <c r="K321" s="1858"/>
      <c r="L321" s="1858"/>
      <c r="M321" s="1858"/>
      <c r="N321" s="1530"/>
      <c r="O321" s="1858"/>
      <c r="P321" s="1858"/>
      <c r="Q321" s="1858"/>
      <c r="R321" s="1858"/>
      <c r="S321" s="1858"/>
      <c r="T321" s="1858"/>
      <c r="U321" s="1682"/>
    </row>
    <row r="322" spans="1:26" ht="30.75" hidden="1" customHeight="1" x14ac:dyDescent="0.25">
      <c r="A322" s="732"/>
      <c r="B322" s="1871" t="s">
        <v>1017</v>
      </c>
      <c r="C322" s="1193"/>
      <c r="D322" s="1531" t="s">
        <v>463</v>
      </c>
      <c r="E322" s="1531" t="s">
        <v>495</v>
      </c>
      <c r="F322" s="409" t="s">
        <v>1018</v>
      </c>
      <c r="G322" s="1663"/>
      <c r="H322" s="1682">
        <f>H323</f>
        <v>0</v>
      </c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6" ht="30.75" hidden="1" customHeight="1" x14ac:dyDescent="0.25">
      <c r="A323" s="732"/>
      <c r="B323" s="1182" t="s">
        <v>454</v>
      </c>
      <c r="C323" s="1193"/>
      <c r="D323" s="1531" t="s">
        <v>463</v>
      </c>
      <c r="E323" s="1531" t="s">
        <v>495</v>
      </c>
      <c r="F323" s="409" t="s">
        <v>1018</v>
      </c>
      <c r="G323" s="1663" t="s">
        <v>1</v>
      </c>
      <c r="H323" s="1682"/>
      <c r="I323" s="529"/>
      <c r="J323" s="269"/>
      <c r="K323" s="1858"/>
      <c r="L323" s="1858"/>
      <c r="M323" s="1858"/>
      <c r="N323" s="1530"/>
      <c r="O323" s="1858"/>
      <c r="P323" s="1858"/>
      <c r="Q323" s="1858"/>
      <c r="R323" s="1858"/>
      <c r="S323" s="1858"/>
      <c r="T323" s="1858"/>
      <c r="U323" s="1682"/>
    </row>
    <row r="324" spans="1:26" ht="30.75" customHeight="1" x14ac:dyDescent="0.25">
      <c r="A324" s="732"/>
      <c r="B324" s="1203" t="s">
        <v>1059</v>
      </c>
      <c r="C324" s="1193"/>
      <c r="D324" s="1217" t="s">
        <v>463</v>
      </c>
      <c r="E324" s="1217" t="s">
        <v>495</v>
      </c>
      <c r="F324" s="409" t="s">
        <v>468</v>
      </c>
      <c r="G324" s="1663"/>
      <c r="H324" s="1682">
        <f>H325</f>
        <v>3104.21</v>
      </c>
      <c r="I324" s="529"/>
      <c r="J324" s="269"/>
      <c r="K324" s="1858"/>
      <c r="L324" s="1858"/>
      <c r="M324" s="1858"/>
      <c r="N324" s="1530">
        <f>N325</f>
        <v>500</v>
      </c>
      <c r="O324" s="1858"/>
      <c r="P324" s="1858"/>
      <c r="Q324" s="1858"/>
      <c r="R324" s="1858"/>
      <c r="S324" s="1858"/>
      <c r="T324" s="1858"/>
      <c r="U324" s="1682">
        <f>U325</f>
        <v>500</v>
      </c>
    </row>
    <row r="325" spans="1:26" ht="30.75" customHeight="1" x14ac:dyDescent="0.25">
      <c r="A325" s="732"/>
      <c r="B325" s="1242" t="s">
        <v>1053</v>
      </c>
      <c r="C325" s="1193"/>
      <c r="D325" s="1217" t="s">
        <v>463</v>
      </c>
      <c r="E325" s="1217" t="s">
        <v>495</v>
      </c>
      <c r="F325" s="409" t="s">
        <v>857</v>
      </c>
      <c r="G325" s="1663"/>
      <c r="H325" s="1682">
        <f>H326</f>
        <v>3104.21</v>
      </c>
      <c r="I325" s="529"/>
      <c r="J325" s="269"/>
      <c r="K325" s="1858"/>
      <c r="L325" s="1858"/>
      <c r="M325" s="1858"/>
      <c r="N325" s="1530">
        <f>N326</f>
        <v>500</v>
      </c>
      <c r="O325" s="1858"/>
      <c r="P325" s="1858"/>
      <c r="Q325" s="1858"/>
      <c r="R325" s="1858"/>
      <c r="S325" s="1858"/>
      <c r="T325" s="1858"/>
      <c r="U325" s="1682">
        <f>U326</f>
        <v>500</v>
      </c>
    </row>
    <row r="326" spans="1:26" ht="30.75" customHeight="1" x14ac:dyDescent="0.25">
      <c r="A326" s="732"/>
      <c r="B326" s="1242" t="s">
        <v>467</v>
      </c>
      <c r="C326" s="409"/>
      <c r="D326" s="1217" t="s">
        <v>463</v>
      </c>
      <c r="E326" s="1217" t="s">
        <v>495</v>
      </c>
      <c r="F326" s="409" t="s">
        <v>858</v>
      </c>
      <c r="G326" s="1663"/>
      <c r="H326" s="1682">
        <f>H327</f>
        <v>3104.21</v>
      </c>
      <c r="I326" s="529"/>
      <c r="J326" s="269"/>
      <c r="K326" s="1858"/>
      <c r="L326" s="1858"/>
      <c r="M326" s="1858"/>
      <c r="N326" s="1530">
        <f>N327</f>
        <v>500</v>
      </c>
      <c r="O326" s="1858"/>
      <c r="P326" s="1858"/>
      <c r="Q326" s="1858"/>
      <c r="R326" s="1858"/>
      <c r="S326" s="1858"/>
      <c r="T326" s="1858"/>
      <c r="U326" s="1682">
        <f>U327</f>
        <v>500</v>
      </c>
    </row>
    <row r="327" spans="1:26" ht="30.75" customHeight="1" x14ac:dyDescent="0.25">
      <c r="A327" s="732"/>
      <c r="B327" s="1242" t="s">
        <v>1054</v>
      </c>
      <c r="C327" s="1193"/>
      <c r="D327" s="1217" t="s">
        <v>463</v>
      </c>
      <c r="E327" s="1217" t="s">
        <v>495</v>
      </c>
      <c r="F327" s="409" t="s">
        <v>1055</v>
      </c>
      <c r="G327" s="1663"/>
      <c r="H327" s="1682">
        <f>H329</f>
        <v>3104.21</v>
      </c>
      <c r="I327" s="529"/>
      <c r="J327" s="269"/>
      <c r="K327" s="1858"/>
      <c r="L327" s="1858"/>
      <c r="M327" s="1858"/>
      <c r="N327" s="1530">
        <f>N329</f>
        <v>500</v>
      </c>
      <c r="O327" s="1858"/>
      <c r="P327" s="1858"/>
      <c r="Q327" s="1858"/>
      <c r="R327" s="1858"/>
      <c r="S327" s="1858"/>
      <c r="T327" s="1858"/>
      <c r="U327" s="1682">
        <f>U329</f>
        <v>500</v>
      </c>
    </row>
    <row r="328" spans="1:26" ht="23.15" customHeight="1" x14ac:dyDescent="0.25">
      <c r="A328" s="732"/>
      <c r="B328" s="1182" t="s">
        <v>1048</v>
      </c>
      <c r="C328" s="1193"/>
      <c r="D328" s="1217" t="s">
        <v>463</v>
      </c>
      <c r="E328" s="1217" t="s">
        <v>495</v>
      </c>
      <c r="F328" s="409" t="s">
        <v>1055</v>
      </c>
      <c r="G328" s="1663" t="s">
        <v>955</v>
      </c>
      <c r="H328" s="1682">
        <f>H329</f>
        <v>3104.21</v>
      </c>
      <c r="I328" s="529"/>
      <c r="J328" s="269"/>
      <c r="K328" s="1858"/>
      <c r="L328" s="1858"/>
      <c r="M328" s="1858"/>
      <c r="N328" s="1530">
        <f>N329</f>
        <v>500</v>
      </c>
      <c r="O328" s="1858"/>
      <c r="P328" s="1858"/>
      <c r="Q328" s="1858"/>
      <c r="R328" s="1858"/>
      <c r="S328" s="1858"/>
      <c r="T328" s="1858"/>
      <c r="U328" s="1682">
        <f>U329</f>
        <v>500</v>
      </c>
    </row>
    <row r="329" spans="1:26" ht="30.75" customHeight="1" x14ac:dyDescent="0.25">
      <c r="A329" s="732"/>
      <c r="B329" s="1182" t="s">
        <v>454</v>
      </c>
      <c r="C329" s="1193"/>
      <c r="D329" s="1217" t="s">
        <v>463</v>
      </c>
      <c r="E329" s="1217" t="s">
        <v>495</v>
      </c>
      <c r="F329" s="409" t="s">
        <v>1055</v>
      </c>
      <c r="G329" s="1663" t="s">
        <v>1</v>
      </c>
      <c r="H329" s="2186">
        <f>967.48+2136.73</f>
        <v>3104.21</v>
      </c>
      <c r="I329" s="1947"/>
      <c r="J329" s="1941"/>
      <c r="K329" s="2040"/>
      <c r="L329" s="2041"/>
      <c r="M329" s="2"/>
      <c r="N329" s="1682">
        <v>500</v>
      </c>
      <c r="O329" s="2"/>
      <c r="P329" s="1986">
        <v>500</v>
      </c>
      <c r="Q329" s="1986">
        <v>500</v>
      </c>
      <c r="R329" s="1858"/>
      <c r="S329" s="1858"/>
      <c r="T329" s="1858"/>
      <c r="U329" s="1682">
        <v>500</v>
      </c>
      <c r="Z329" s="1">
        <v>2136.73</v>
      </c>
    </row>
    <row r="330" spans="1:26" ht="30.75" hidden="1" customHeight="1" x14ac:dyDescent="0.25">
      <c r="A330" s="732"/>
      <c r="B330" s="1182" t="s">
        <v>34</v>
      </c>
      <c r="C330" s="1193"/>
      <c r="D330" s="1217" t="s">
        <v>463</v>
      </c>
      <c r="E330" s="1217" t="s">
        <v>495</v>
      </c>
      <c r="F330" s="409" t="s">
        <v>1055</v>
      </c>
      <c r="G330" s="1663"/>
      <c r="H330" s="1682"/>
      <c r="I330" s="529"/>
      <c r="J330" s="269"/>
      <c r="K330" s="1858"/>
      <c r="L330" s="1858"/>
      <c r="M330" s="1858"/>
      <c r="N330" s="1530"/>
      <c r="O330" s="1858"/>
      <c r="P330" s="1858"/>
      <c r="Q330" s="1858"/>
      <c r="R330" s="1858"/>
      <c r="S330" s="1858"/>
      <c r="T330" s="1858"/>
      <c r="U330" s="1682"/>
    </row>
    <row r="331" spans="1:26" ht="30.75" customHeight="1" x14ac:dyDescent="0.25">
      <c r="A331" s="732"/>
      <c r="B331" s="1242" t="s">
        <v>1049</v>
      </c>
      <c r="C331" s="1193"/>
      <c r="D331" s="1248" t="s">
        <v>463</v>
      </c>
      <c r="E331" s="1248" t="s">
        <v>495</v>
      </c>
      <c r="F331" s="409" t="s">
        <v>1045</v>
      </c>
      <c r="G331" s="1663"/>
      <c r="H331" s="1682">
        <f>H332</f>
        <v>943.25</v>
      </c>
      <c r="I331" s="529"/>
      <c r="J331" s="269"/>
      <c r="K331" s="1858"/>
      <c r="L331" s="1858"/>
      <c r="M331" s="1858"/>
      <c r="N331" s="1530">
        <f>N332</f>
        <v>300</v>
      </c>
      <c r="O331" s="1858"/>
      <c r="P331" s="1858"/>
      <c r="Q331" s="1858"/>
      <c r="R331" s="1858"/>
      <c r="S331" s="1858"/>
      <c r="T331" s="1858"/>
      <c r="U331" s="1682">
        <f>U332</f>
        <v>300</v>
      </c>
    </row>
    <row r="332" spans="1:26" ht="30.75" customHeight="1" x14ac:dyDescent="0.25">
      <c r="A332" s="732"/>
      <c r="B332" s="1242" t="s">
        <v>1050</v>
      </c>
      <c r="C332" s="1193"/>
      <c r="D332" s="1217" t="s">
        <v>463</v>
      </c>
      <c r="E332" s="1217" t="s">
        <v>495</v>
      </c>
      <c r="F332" s="409" t="s">
        <v>1046</v>
      </c>
      <c r="G332" s="1663"/>
      <c r="H332" s="1682">
        <f>H333</f>
        <v>943.25</v>
      </c>
      <c r="I332" s="529"/>
      <c r="J332" s="269"/>
      <c r="K332" s="1858"/>
      <c r="L332" s="1858"/>
      <c r="M332" s="1858"/>
      <c r="N332" s="1530">
        <f>N333</f>
        <v>300</v>
      </c>
      <c r="O332" s="1858"/>
      <c r="P332" s="1858"/>
      <c r="Q332" s="1858"/>
      <c r="R332" s="1858"/>
      <c r="S332" s="1858"/>
      <c r="T332" s="1858"/>
      <c r="U332" s="1682">
        <f>U333</f>
        <v>300</v>
      </c>
    </row>
    <row r="333" spans="1:26" ht="30.75" customHeight="1" x14ac:dyDescent="0.25">
      <c r="A333" s="732"/>
      <c r="B333" s="1242" t="s">
        <v>1051</v>
      </c>
      <c r="C333" s="1193"/>
      <c r="D333" s="1217" t="s">
        <v>463</v>
      </c>
      <c r="E333" s="1217" t="s">
        <v>495</v>
      </c>
      <c r="F333" s="409" t="s">
        <v>1052</v>
      </c>
      <c r="G333" s="1663"/>
      <c r="H333" s="1682">
        <f>H335</f>
        <v>943.25</v>
      </c>
      <c r="I333" s="529"/>
      <c r="J333" s="269"/>
      <c r="K333" s="1858"/>
      <c r="L333" s="1858"/>
      <c r="M333" s="1858"/>
      <c r="N333" s="1530">
        <f>N335</f>
        <v>300</v>
      </c>
      <c r="O333" s="1858"/>
      <c r="P333" s="1858"/>
      <c r="Q333" s="1858"/>
      <c r="R333" s="1858"/>
      <c r="S333" s="1858"/>
      <c r="T333" s="1858"/>
      <c r="U333" s="1682">
        <f>U335</f>
        <v>300</v>
      </c>
    </row>
    <row r="334" spans="1:26" ht="22" customHeight="1" x14ac:dyDescent="0.25">
      <c r="A334" s="732"/>
      <c r="B334" s="1242" t="s">
        <v>1048</v>
      </c>
      <c r="C334" s="1193"/>
      <c r="D334" s="1217" t="s">
        <v>463</v>
      </c>
      <c r="E334" s="1217" t="s">
        <v>495</v>
      </c>
      <c r="F334" s="409" t="s">
        <v>1052</v>
      </c>
      <c r="G334" s="1663" t="s">
        <v>955</v>
      </c>
      <c r="H334" s="1682">
        <f>H335</f>
        <v>943.25</v>
      </c>
      <c r="I334" s="529"/>
      <c r="J334" s="269"/>
      <c r="K334" s="1858"/>
      <c r="L334" s="1858"/>
      <c r="M334" s="1858"/>
      <c r="N334" s="1530">
        <f>N335</f>
        <v>300</v>
      </c>
      <c r="O334" s="1858"/>
      <c r="P334" s="1858"/>
      <c r="Q334" s="1858"/>
      <c r="R334" s="1858"/>
      <c r="S334" s="1858"/>
      <c r="T334" s="1858"/>
      <c r="U334" s="1682">
        <f>U335</f>
        <v>300</v>
      </c>
    </row>
    <row r="335" spans="1:26" ht="30.75" customHeight="1" x14ac:dyDescent="0.25">
      <c r="A335" s="732"/>
      <c r="B335" s="1182" t="s">
        <v>4</v>
      </c>
      <c r="C335" s="1193"/>
      <c r="D335" s="1217" t="s">
        <v>463</v>
      </c>
      <c r="E335" s="1217" t="s">
        <v>495</v>
      </c>
      <c r="F335" s="409" t="s">
        <v>1052</v>
      </c>
      <c r="G335" s="1663" t="s">
        <v>1</v>
      </c>
      <c r="H335" s="1682">
        <f>300+643.25</f>
        <v>943.25</v>
      </c>
      <c r="I335" s="529"/>
      <c r="J335" s="269"/>
      <c r="K335" s="1858"/>
      <c r="L335" s="1858"/>
      <c r="M335" s="1858"/>
      <c r="N335" s="1530">
        <v>300</v>
      </c>
      <c r="O335" s="1858"/>
      <c r="P335" s="1858"/>
      <c r="Q335" s="1858"/>
      <c r="R335" s="1858"/>
      <c r="S335" s="1858"/>
      <c r="T335" s="1858"/>
      <c r="U335" s="1682">
        <v>300</v>
      </c>
      <c r="Z335" s="1">
        <v>643.25</v>
      </c>
    </row>
    <row r="336" spans="1:26" ht="37" customHeight="1" x14ac:dyDescent="0.25">
      <c r="A336" s="732"/>
      <c r="B336" s="1872" t="s">
        <v>1096</v>
      </c>
      <c r="C336" s="409"/>
      <c r="D336" s="1248" t="s">
        <v>463</v>
      </c>
      <c r="E336" s="1248" t="s">
        <v>495</v>
      </c>
      <c r="F336" s="409" t="s">
        <v>952</v>
      </c>
      <c r="G336" s="1667"/>
      <c r="H336" s="1682">
        <f>H340+H342</f>
        <v>9888.89</v>
      </c>
      <c r="I336" s="529"/>
      <c r="J336" s="269"/>
      <c r="K336" s="1858"/>
      <c r="L336" s="1858"/>
      <c r="M336" s="1858"/>
      <c r="N336" s="1530">
        <f>N340+N342</f>
        <v>1500</v>
      </c>
      <c r="O336" s="1858"/>
      <c r="P336" s="1858"/>
      <c r="Q336" s="1858"/>
      <c r="R336" s="1858"/>
      <c r="S336" s="1858"/>
      <c r="T336" s="1858"/>
      <c r="U336" s="1682">
        <f>U340+U342</f>
        <v>1500</v>
      </c>
    </row>
    <row r="337" spans="1:26" ht="30.75" customHeight="1" x14ac:dyDescent="0.25">
      <c r="A337" s="732"/>
      <c r="B337" s="1873" t="s">
        <v>1134</v>
      </c>
      <c r="C337" s="409"/>
      <c r="D337" s="409" t="s">
        <v>463</v>
      </c>
      <c r="E337" s="409" t="s">
        <v>495</v>
      </c>
      <c r="F337" s="409" t="s">
        <v>953</v>
      </c>
      <c r="G337" s="1668"/>
      <c r="H337" s="1682">
        <f>H338</f>
        <v>777.77800000000002</v>
      </c>
      <c r="I337" s="529"/>
      <c r="J337" s="269"/>
      <c r="K337" s="1858"/>
      <c r="L337" s="1858"/>
      <c r="M337" s="1858"/>
      <c r="N337" s="1530">
        <f>N338</f>
        <v>0</v>
      </c>
      <c r="O337" s="1858"/>
      <c r="P337" s="1858"/>
      <c r="Q337" s="1858"/>
      <c r="R337" s="1858"/>
      <c r="S337" s="1858"/>
      <c r="T337" s="1858"/>
      <c r="U337" s="1682">
        <f>U338</f>
        <v>0</v>
      </c>
    </row>
    <row r="338" spans="1:26" ht="30.75" customHeight="1" x14ac:dyDescent="0.25">
      <c r="A338" s="732"/>
      <c r="B338" s="1874" t="s">
        <v>1133</v>
      </c>
      <c r="C338" s="409"/>
      <c r="D338" s="409" t="s">
        <v>463</v>
      </c>
      <c r="E338" s="409" t="s">
        <v>495</v>
      </c>
      <c r="F338" s="409" t="s">
        <v>1132</v>
      </c>
      <c r="G338" s="1875"/>
      <c r="H338" s="1682">
        <f>H340</f>
        <v>777.77800000000002</v>
      </c>
      <c r="I338" s="529"/>
      <c r="J338" s="269"/>
      <c r="K338" s="1858"/>
      <c r="L338" s="1858"/>
      <c r="M338" s="1858"/>
      <c r="N338" s="1530">
        <f>N340</f>
        <v>0</v>
      </c>
      <c r="O338" s="1858"/>
      <c r="P338" s="1858"/>
      <c r="Q338" s="1858"/>
      <c r="R338" s="1858"/>
      <c r="S338" s="1858"/>
      <c r="T338" s="1858"/>
      <c r="U338" s="1682">
        <f>U340</f>
        <v>0</v>
      </c>
    </row>
    <row r="339" spans="1:26" ht="30.75" customHeight="1" x14ac:dyDescent="0.25">
      <c r="A339" s="732"/>
      <c r="B339" s="753" t="s">
        <v>948</v>
      </c>
      <c r="C339" s="409"/>
      <c r="D339" s="1217" t="s">
        <v>463</v>
      </c>
      <c r="E339" s="1217" t="s">
        <v>495</v>
      </c>
      <c r="F339" s="409" t="s">
        <v>1132</v>
      </c>
      <c r="G339" s="1876" t="s">
        <v>955</v>
      </c>
      <c r="H339" s="1682">
        <f>H340</f>
        <v>777.77800000000002</v>
      </c>
      <c r="I339" s="529"/>
      <c r="J339" s="269"/>
      <c r="K339" s="1858"/>
      <c r="L339" s="1858"/>
      <c r="M339" s="1858"/>
      <c r="N339" s="1530"/>
      <c r="O339" s="1858"/>
      <c r="P339" s="1858"/>
      <c r="Q339" s="1858"/>
      <c r="R339" s="1858"/>
      <c r="S339" s="1858"/>
      <c r="T339" s="1858"/>
      <c r="U339" s="1682"/>
    </row>
    <row r="340" spans="1:26" ht="30.75" customHeight="1" x14ac:dyDescent="0.25">
      <c r="A340" s="732"/>
      <c r="B340" s="1182" t="s">
        <v>454</v>
      </c>
      <c r="C340" s="409"/>
      <c r="D340" s="1217" t="s">
        <v>463</v>
      </c>
      <c r="E340" s="1217" t="s">
        <v>495</v>
      </c>
      <c r="F340" s="409" t="s">
        <v>1132</v>
      </c>
      <c r="G340" s="1662" t="s">
        <v>1</v>
      </c>
      <c r="H340" s="1682">
        <f>H341</f>
        <v>777.77800000000002</v>
      </c>
      <c r="I340" s="529"/>
      <c r="J340" s="269"/>
      <c r="K340" s="1858">
        <v>450</v>
      </c>
      <c r="L340" s="1858"/>
      <c r="M340" s="1858"/>
      <c r="N340" s="1530"/>
      <c r="O340" s="1858"/>
      <c r="P340" s="1858"/>
      <c r="Q340" s="1858"/>
      <c r="R340" s="1858"/>
      <c r="S340" s="1858"/>
      <c r="T340" s="1858"/>
      <c r="U340" s="1682"/>
    </row>
    <row r="341" spans="1:26" ht="30.75" customHeight="1" x14ac:dyDescent="0.25">
      <c r="A341" s="732"/>
      <c r="B341" s="1182" t="s">
        <v>34</v>
      </c>
      <c r="C341" s="409"/>
      <c r="D341" s="1217" t="s">
        <v>463</v>
      </c>
      <c r="E341" s="1217" t="s">
        <v>495</v>
      </c>
      <c r="F341" s="409" t="s">
        <v>1132</v>
      </c>
      <c r="G341" s="1662" t="s">
        <v>1</v>
      </c>
      <c r="H341" s="1682">
        <v>777.77800000000002</v>
      </c>
      <c r="I341" s="529"/>
      <c r="J341" s="269"/>
      <c r="K341" s="1858"/>
      <c r="L341" s="1858"/>
      <c r="M341" s="1858"/>
      <c r="N341" s="1530"/>
      <c r="O341" s="1858"/>
      <c r="P341" s="1858"/>
      <c r="Q341" s="1858"/>
      <c r="R341" s="1858"/>
      <c r="S341" s="1858"/>
      <c r="T341" s="1858"/>
      <c r="U341" s="1682"/>
    </row>
    <row r="342" spans="1:26" ht="30.75" customHeight="1" x14ac:dyDescent="0.25">
      <c r="A342" s="732"/>
      <c r="B342" s="1872" t="s">
        <v>1019</v>
      </c>
      <c r="C342" s="409"/>
      <c r="D342" s="1217" t="s">
        <v>463</v>
      </c>
      <c r="E342" s="1217" t="s">
        <v>495</v>
      </c>
      <c r="F342" s="409" t="s">
        <v>1020</v>
      </c>
      <c r="G342" s="1668"/>
      <c r="H342" s="1682">
        <f>H343</f>
        <v>9111.1119999999992</v>
      </c>
      <c r="I342" s="529"/>
      <c r="J342" s="269"/>
      <c r="K342" s="1858"/>
      <c r="L342" s="1858"/>
      <c r="M342" s="1858"/>
      <c r="N342" s="1530">
        <f>N343</f>
        <v>1500</v>
      </c>
      <c r="O342" s="1858"/>
      <c r="P342" s="1858"/>
      <c r="Q342" s="1858"/>
      <c r="R342" s="1858"/>
      <c r="S342" s="1858"/>
      <c r="T342" s="1858"/>
      <c r="U342" s="1682">
        <f>U343</f>
        <v>1500</v>
      </c>
    </row>
    <row r="343" spans="1:26" ht="30.75" customHeight="1" x14ac:dyDescent="0.25">
      <c r="A343" s="732"/>
      <c r="B343" s="753" t="s">
        <v>1021</v>
      </c>
      <c r="C343" s="409"/>
      <c r="D343" s="409" t="s">
        <v>463</v>
      </c>
      <c r="E343" s="409" t="s">
        <v>495</v>
      </c>
      <c r="F343" s="1864" t="s">
        <v>1022</v>
      </c>
      <c r="G343" s="1875"/>
      <c r="H343" s="1682">
        <f>H345</f>
        <v>9111.1119999999992</v>
      </c>
      <c r="I343" s="529"/>
      <c r="J343" s="269"/>
      <c r="K343" s="1858"/>
      <c r="L343" s="1858"/>
      <c r="M343" s="1858"/>
      <c r="N343" s="1530">
        <f>N345</f>
        <v>1500</v>
      </c>
      <c r="O343" s="1858"/>
      <c r="P343" s="1858"/>
      <c r="Q343" s="1858"/>
      <c r="R343" s="1858"/>
      <c r="S343" s="1858"/>
      <c r="T343" s="1858"/>
      <c r="U343" s="1682">
        <f>U345</f>
        <v>1500</v>
      </c>
    </row>
    <row r="344" spans="1:26" ht="23.5" customHeight="1" x14ac:dyDescent="0.25">
      <c r="A344" s="732"/>
      <c r="B344" s="753" t="s">
        <v>948</v>
      </c>
      <c r="C344" s="409"/>
      <c r="D344" s="1217" t="s">
        <v>463</v>
      </c>
      <c r="E344" s="1217" t="s">
        <v>495</v>
      </c>
      <c r="F344" s="1864" t="s">
        <v>1022</v>
      </c>
      <c r="G344" s="1876" t="s">
        <v>955</v>
      </c>
      <c r="H344" s="1682">
        <f>H345</f>
        <v>9111.1119999999992</v>
      </c>
      <c r="I344" s="529"/>
      <c r="J344" s="269"/>
      <c r="K344" s="1858"/>
      <c r="L344" s="1858"/>
      <c r="M344" s="1858"/>
      <c r="N344" s="1530">
        <f>N345</f>
        <v>1500</v>
      </c>
      <c r="O344" s="1858"/>
      <c r="P344" s="1858"/>
      <c r="Q344" s="1858"/>
      <c r="R344" s="1858"/>
      <c r="S344" s="1858"/>
      <c r="T344" s="1858"/>
      <c r="U344" s="1682">
        <f>U345</f>
        <v>1500</v>
      </c>
    </row>
    <row r="345" spans="1:26" ht="30.75" customHeight="1" x14ac:dyDescent="0.25">
      <c r="A345" s="732"/>
      <c r="B345" s="1182" t="s">
        <v>454</v>
      </c>
      <c r="C345" s="409"/>
      <c r="D345" s="409" t="s">
        <v>463</v>
      </c>
      <c r="E345" s="409" t="s">
        <v>495</v>
      </c>
      <c r="F345" s="1864" t="s">
        <v>1022</v>
      </c>
      <c r="G345" s="1662" t="s">
        <v>1</v>
      </c>
      <c r="H345" s="1682">
        <f>899.55+210+8000+1.562</f>
        <v>9111.1119999999992</v>
      </c>
      <c r="I345" s="529"/>
      <c r="J345" s="269"/>
      <c r="K345" s="1858"/>
      <c r="L345" s="1858"/>
      <c r="M345" s="1858"/>
      <c r="N345" s="1530">
        <f>750+750</f>
        <v>1500</v>
      </c>
      <c r="O345" s="1858"/>
      <c r="P345" s="1858"/>
      <c r="Q345" s="1858"/>
      <c r="R345" s="1858"/>
      <c r="S345" s="1858"/>
      <c r="T345" s="1858"/>
      <c r="U345" s="1682">
        <f>750+750</f>
        <v>1500</v>
      </c>
    </row>
    <row r="346" spans="1:26" ht="30.75" customHeight="1" x14ac:dyDescent="0.25">
      <c r="A346" s="732"/>
      <c r="B346" s="1872" t="s">
        <v>1067</v>
      </c>
      <c r="C346" s="1193"/>
      <c r="D346" s="1531" t="s">
        <v>463</v>
      </c>
      <c r="E346" s="1531" t="s">
        <v>495</v>
      </c>
      <c r="F346" s="409" t="s">
        <v>1014</v>
      </c>
      <c r="G346" s="1663"/>
      <c r="H346" s="1682">
        <f>H347</f>
        <v>426.73699999999997</v>
      </c>
      <c r="I346" s="529"/>
      <c r="J346" s="269"/>
      <c r="K346" s="1858"/>
      <c r="L346" s="1858"/>
      <c r="M346" s="1858"/>
      <c r="N346" s="1530">
        <f>N347</f>
        <v>150</v>
      </c>
      <c r="O346" s="1858"/>
      <c r="P346" s="1858"/>
      <c r="Q346" s="1858"/>
      <c r="R346" s="1858"/>
      <c r="S346" s="1858"/>
      <c r="T346" s="1858"/>
      <c r="U346" s="1682">
        <f>U347</f>
        <v>150</v>
      </c>
    </row>
    <row r="347" spans="1:26" ht="30.75" customHeight="1" x14ac:dyDescent="0.25">
      <c r="A347" s="732"/>
      <c r="B347" s="1870" t="s">
        <v>1023</v>
      </c>
      <c r="C347" s="1193"/>
      <c r="D347" s="1531" t="s">
        <v>463</v>
      </c>
      <c r="E347" s="1531" t="s">
        <v>495</v>
      </c>
      <c r="F347" s="409" t="s">
        <v>1016</v>
      </c>
      <c r="G347" s="1663"/>
      <c r="H347" s="1682">
        <f>H348</f>
        <v>426.73699999999997</v>
      </c>
      <c r="I347" s="529"/>
      <c r="J347" s="269"/>
      <c r="K347" s="1858"/>
      <c r="L347" s="1858"/>
      <c r="M347" s="1858"/>
      <c r="N347" s="1530">
        <f>N348</f>
        <v>150</v>
      </c>
      <c r="O347" s="1858"/>
      <c r="P347" s="1858"/>
      <c r="Q347" s="1858"/>
      <c r="R347" s="1858"/>
      <c r="S347" s="1858"/>
      <c r="T347" s="1858"/>
      <c r="U347" s="1682">
        <f>U348</f>
        <v>150</v>
      </c>
    </row>
    <row r="348" spans="1:26" ht="30.75" customHeight="1" x14ac:dyDescent="0.25">
      <c r="A348" s="732"/>
      <c r="B348" s="1871" t="s">
        <v>1024</v>
      </c>
      <c r="C348" s="1193"/>
      <c r="D348" s="1877" t="s">
        <v>463</v>
      </c>
      <c r="E348" s="1877" t="s">
        <v>495</v>
      </c>
      <c r="F348" s="409" t="s">
        <v>1018</v>
      </c>
      <c r="G348" s="1663"/>
      <c r="H348" s="1682">
        <f>H350</f>
        <v>426.73699999999997</v>
      </c>
      <c r="I348" s="529"/>
      <c r="J348" s="269"/>
      <c r="K348" s="1858"/>
      <c r="L348" s="1858"/>
      <c r="M348" s="1858"/>
      <c r="N348" s="1530">
        <f>N350</f>
        <v>150</v>
      </c>
      <c r="O348" s="1858"/>
      <c r="P348" s="1858"/>
      <c r="Q348" s="1858"/>
      <c r="R348" s="1858"/>
      <c r="S348" s="1858"/>
      <c r="T348" s="1858"/>
      <c r="U348" s="1682">
        <f>U350</f>
        <v>150</v>
      </c>
    </row>
    <row r="349" spans="1:26" ht="22" customHeight="1" x14ac:dyDescent="0.25">
      <c r="A349" s="732"/>
      <c r="B349" s="753" t="s">
        <v>948</v>
      </c>
      <c r="C349" s="1193"/>
      <c r="D349" s="1531" t="s">
        <v>463</v>
      </c>
      <c r="E349" s="1531" t="s">
        <v>495</v>
      </c>
      <c r="F349" s="409" t="s">
        <v>1018</v>
      </c>
      <c r="G349" s="1663" t="s">
        <v>955</v>
      </c>
      <c r="H349" s="1682">
        <f t="shared" ref="H349:U349" si="71">H350</f>
        <v>426.73699999999997</v>
      </c>
      <c r="I349" s="529">
        <f t="shared" si="71"/>
        <v>0</v>
      </c>
      <c r="J349" s="269">
        <f t="shared" si="71"/>
        <v>0</v>
      </c>
      <c r="K349" s="1858">
        <f t="shared" si="71"/>
        <v>0</v>
      </c>
      <c r="L349" s="1858">
        <f t="shared" si="71"/>
        <v>0</v>
      </c>
      <c r="M349" s="1858">
        <f t="shared" si="71"/>
        <v>0</v>
      </c>
      <c r="N349" s="1530">
        <f t="shared" si="71"/>
        <v>150</v>
      </c>
      <c r="O349" s="1858">
        <f t="shared" si="71"/>
        <v>0</v>
      </c>
      <c r="P349" s="1858">
        <f t="shared" si="71"/>
        <v>0</v>
      </c>
      <c r="Q349" s="1858">
        <f t="shared" si="71"/>
        <v>0</v>
      </c>
      <c r="R349" s="1858">
        <f t="shared" si="71"/>
        <v>0</v>
      </c>
      <c r="S349" s="1858">
        <f t="shared" si="71"/>
        <v>0</v>
      </c>
      <c r="T349" s="1858">
        <f t="shared" si="71"/>
        <v>0</v>
      </c>
      <c r="U349" s="1682">
        <f t="shared" si="71"/>
        <v>150</v>
      </c>
    </row>
    <row r="350" spans="1:26" ht="30.75" customHeight="1" x14ac:dyDescent="0.25">
      <c r="A350" s="732"/>
      <c r="B350" s="1182" t="s">
        <v>454</v>
      </c>
      <c r="C350" s="1193"/>
      <c r="D350" s="1531" t="s">
        <v>463</v>
      </c>
      <c r="E350" s="1531" t="s">
        <v>495</v>
      </c>
      <c r="F350" s="409" t="s">
        <v>1018</v>
      </c>
      <c r="G350" s="1663" t="s">
        <v>1</v>
      </c>
      <c r="H350" s="1682">
        <f>21.337+405.4</f>
        <v>426.73699999999997</v>
      </c>
      <c r="I350" s="529"/>
      <c r="J350" s="269"/>
      <c r="K350" s="1858"/>
      <c r="L350" s="1858"/>
      <c r="M350" s="1858"/>
      <c r="N350" s="1530">
        <v>150</v>
      </c>
      <c r="O350" s="1858"/>
      <c r="P350" s="1858"/>
      <c r="Q350" s="1858"/>
      <c r="R350" s="1858"/>
      <c r="S350" s="1858"/>
      <c r="T350" s="1858"/>
      <c r="U350" s="1682">
        <v>150</v>
      </c>
      <c r="Z350" s="1">
        <v>405.4</v>
      </c>
    </row>
    <row r="351" spans="1:26" ht="30.75" hidden="1" customHeight="1" x14ac:dyDescent="0.25">
      <c r="A351" s="732"/>
      <c r="B351" s="1872" t="s">
        <v>1097</v>
      </c>
      <c r="C351" s="409"/>
      <c r="D351" s="1217" t="s">
        <v>463</v>
      </c>
      <c r="E351" s="1217" t="s">
        <v>495</v>
      </c>
      <c r="F351" s="409" t="s">
        <v>1026</v>
      </c>
      <c r="G351" s="1662"/>
      <c r="H351" s="1682">
        <f>H353</f>
        <v>0</v>
      </c>
      <c r="I351" s="529"/>
      <c r="J351" s="269"/>
      <c r="K351" s="1858"/>
      <c r="L351" s="1858"/>
      <c r="M351" s="1858"/>
      <c r="N351" s="1530">
        <f>N353</f>
        <v>0</v>
      </c>
      <c r="O351" s="1858"/>
      <c r="P351" s="1858"/>
      <c r="Q351" s="1858"/>
      <c r="R351" s="1858"/>
      <c r="S351" s="1858"/>
      <c r="T351" s="1858"/>
      <c r="U351" s="1682">
        <f>U353</f>
        <v>0</v>
      </c>
    </row>
    <row r="352" spans="1:26" ht="27" hidden="1" customHeight="1" x14ac:dyDescent="0.25">
      <c r="A352" s="732"/>
      <c r="B352" s="1879" t="s">
        <v>1027</v>
      </c>
      <c r="C352" s="409"/>
      <c r="D352" s="1217" t="s">
        <v>463</v>
      </c>
      <c r="E352" s="1217" t="s">
        <v>495</v>
      </c>
      <c r="F352" s="409" t="s">
        <v>1028</v>
      </c>
      <c r="G352" s="1662"/>
      <c r="H352" s="1682">
        <f>H353</f>
        <v>0</v>
      </c>
      <c r="I352" s="529"/>
      <c r="J352" s="269"/>
      <c r="K352" s="1858"/>
      <c r="L352" s="1858"/>
      <c r="M352" s="1858"/>
      <c r="N352" s="1530">
        <f>N353</f>
        <v>0</v>
      </c>
      <c r="O352" s="1858"/>
      <c r="P352" s="1858"/>
      <c r="Q352" s="1858"/>
      <c r="R352" s="1858"/>
      <c r="S352" s="1858"/>
      <c r="T352" s="1858"/>
      <c r="U352" s="1682">
        <f>U353</f>
        <v>0</v>
      </c>
    </row>
    <row r="353" spans="1:26" ht="30.75" hidden="1" customHeight="1" x14ac:dyDescent="0.25">
      <c r="A353" s="732"/>
      <c r="B353" s="1870" t="s">
        <v>1029</v>
      </c>
      <c r="C353" s="409"/>
      <c r="D353" s="1217" t="s">
        <v>463</v>
      </c>
      <c r="E353" s="1217" t="s">
        <v>495</v>
      </c>
      <c r="F353" s="409" t="s">
        <v>1030</v>
      </c>
      <c r="G353" s="1662"/>
      <c r="H353" s="1682">
        <f>H354</f>
        <v>0</v>
      </c>
      <c r="I353" s="529"/>
      <c r="J353" s="269"/>
      <c r="K353" s="1858"/>
      <c r="L353" s="1858"/>
      <c r="M353" s="1858"/>
      <c r="N353" s="1530"/>
      <c r="O353" s="1858"/>
      <c r="P353" s="1858"/>
      <c r="Q353" s="1858"/>
      <c r="R353" s="1858"/>
      <c r="S353" s="1858"/>
      <c r="T353" s="1858"/>
      <c r="U353" s="1682"/>
    </row>
    <row r="354" spans="1:26" ht="30.75" hidden="1" customHeight="1" x14ac:dyDescent="0.25">
      <c r="A354" s="732"/>
      <c r="B354" s="1871" t="s">
        <v>1031</v>
      </c>
      <c r="C354" s="409"/>
      <c r="D354" s="1217" t="s">
        <v>463</v>
      </c>
      <c r="E354" s="1217" t="s">
        <v>495</v>
      </c>
      <c r="F354" s="409" t="s">
        <v>1032</v>
      </c>
      <c r="G354" s="1662"/>
      <c r="H354" s="1682">
        <f>H356</f>
        <v>0</v>
      </c>
      <c r="I354" s="529"/>
      <c r="J354" s="269"/>
      <c r="K354" s="1858"/>
      <c r="L354" s="1858"/>
      <c r="M354" s="1858"/>
      <c r="N354" s="1530">
        <f>N356</f>
        <v>0</v>
      </c>
      <c r="O354" s="1858"/>
      <c r="P354" s="1858"/>
      <c r="Q354" s="1858"/>
      <c r="R354" s="1858"/>
      <c r="S354" s="1858"/>
      <c r="T354" s="1858"/>
      <c r="U354" s="1682">
        <f>U356</f>
        <v>0</v>
      </c>
    </row>
    <row r="355" spans="1:26" ht="20.149999999999999" hidden="1" customHeight="1" x14ac:dyDescent="0.25">
      <c r="A355" s="732"/>
      <c r="B355" s="753" t="s">
        <v>948</v>
      </c>
      <c r="C355" s="409"/>
      <c r="D355" s="1217" t="s">
        <v>463</v>
      </c>
      <c r="E355" s="1217" t="s">
        <v>495</v>
      </c>
      <c r="F355" s="409" t="s">
        <v>1032</v>
      </c>
      <c r="G355" s="1662" t="s">
        <v>955</v>
      </c>
      <c r="H355" s="1682">
        <f t="shared" ref="H355:U355" si="72">H356</f>
        <v>0</v>
      </c>
      <c r="I355" s="529">
        <f t="shared" si="72"/>
        <v>0</v>
      </c>
      <c r="J355" s="269">
        <f t="shared" si="72"/>
        <v>0</v>
      </c>
      <c r="K355" s="1858">
        <f t="shared" si="72"/>
        <v>0</v>
      </c>
      <c r="L355" s="1858">
        <f t="shared" si="72"/>
        <v>0</v>
      </c>
      <c r="M355" s="1858">
        <f t="shared" si="72"/>
        <v>0</v>
      </c>
      <c r="N355" s="1530">
        <f t="shared" si="72"/>
        <v>0</v>
      </c>
      <c r="O355" s="1858">
        <f t="shared" si="72"/>
        <v>0</v>
      </c>
      <c r="P355" s="1858">
        <f t="shared" si="72"/>
        <v>0</v>
      </c>
      <c r="Q355" s="1858">
        <f t="shared" si="72"/>
        <v>0</v>
      </c>
      <c r="R355" s="1858">
        <f t="shared" si="72"/>
        <v>0</v>
      </c>
      <c r="S355" s="1858">
        <f t="shared" si="72"/>
        <v>0</v>
      </c>
      <c r="T355" s="1858">
        <f t="shared" si="72"/>
        <v>0</v>
      </c>
      <c r="U355" s="1682">
        <f t="shared" si="72"/>
        <v>0</v>
      </c>
    </row>
    <row r="356" spans="1:26" ht="30.75" hidden="1" customHeight="1" x14ac:dyDescent="0.25">
      <c r="A356" s="732"/>
      <c r="B356" s="1182" t="s">
        <v>454</v>
      </c>
      <c r="C356" s="409"/>
      <c r="D356" s="1217" t="s">
        <v>463</v>
      </c>
      <c r="E356" s="1217" t="s">
        <v>495</v>
      </c>
      <c r="F356" s="409" t="s">
        <v>1032</v>
      </c>
      <c r="G356" s="1662" t="s">
        <v>1</v>
      </c>
      <c r="H356" s="1682">
        <f>4129.999-1.562-777.778-362.241-1200-1788.418</f>
        <v>0</v>
      </c>
      <c r="I356" s="529"/>
      <c r="J356" s="269"/>
      <c r="K356" s="1858"/>
      <c r="L356" s="1858"/>
      <c r="M356" s="1858"/>
      <c r="N356" s="1530"/>
      <c r="O356" s="1858"/>
      <c r="P356" s="1858"/>
      <c r="Q356" s="1858"/>
      <c r="R356" s="1858"/>
      <c r="S356" s="1858"/>
      <c r="T356" s="1858"/>
      <c r="U356" s="1682"/>
    </row>
    <row r="357" spans="1:26" ht="30.75" customHeight="1" x14ac:dyDescent="0.25">
      <c r="A357" s="732"/>
      <c r="B357" s="1182" t="s">
        <v>499</v>
      </c>
      <c r="C357" s="1880"/>
      <c r="D357" s="1221" t="s">
        <v>463</v>
      </c>
      <c r="E357" s="1221" t="s">
        <v>495</v>
      </c>
      <c r="F357" s="1662" t="s">
        <v>89</v>
      </c>
      <c r="G357" s="1662"/>
      <c r="H357" s="1682">
        <f>H358</f>
        <v>5480</v>
      </c>
      <c r="I357" s="529"/>
      <c r="J357" s="269"/>
      <c r="K357" s="1858"/>
      <c r="L357" s="1858"/>
      <c r="M357" s="1858"/>
      <c r="N357" s="1200">
        <f>N358</f>
        <v>9560</v>
      </c>
      <c r="O357" s="1858"/>
      <c r="P357" s="1858"/>
      <c r="Q357" s="1858"/>
      <c r="R357" s="1858"/>
      <c r="S357" s="1858"/>
      <c r="T357" s="1858"/>
      <c r="U357" s="1682">
        <f>U358</f>
        <v>8643.2000000000007</v>
      </c>
    </row>
    <row r="358" spans="1:26" ht="30.75" customHeight="1" x14ac:dyDescent="0.25">
      <c r="A358" s="1179"/>
      <c r="B358" s="1882" t="s">
        <v>109</v>
      </c>
      <c r="C358" s="409"/>
      <c r="D358" s="1217" t="s">
        <v>463</v>
      </c>
      <c r="E358" s="1217" t="s">
        <v>495</v>
      </c>
      <c r="F358" s="409" t="s">
        <v>84</v>
      </c>
      <c r="G358" s="1883"/>
      <c r="H358" s="1682">
        <f>H359</f>
        <v>5480</v>
      </c>
      <c r="I358" s="529"/>
      <c r="J358" s="269"/>
      <c r="K358" s="1858"/>
      <c r="L358" s="1858"/>
      <c r="M358" s="1858"/>
      <c r="N358" s="1200">
        <f>N359</f>
        <v>9560</v>
      </c>
      <c r="O358" s="1858"/>
      <c r="P358" s="1858"/>
      <c r="Q358" s="1858"/>
      <c r="R358" s="1858"/>
      <c r="S358" s="1858"/>
      <c r="T358" s="1858"/>
      <c r="U358" s="1682">
        <f>U359</f>
        <v>8643.2000000000007</v>
      </c>
    </row>
    <row r="359" spans="1:26" ht="30.75" customHeight="1" x14ac:dyDescent="0.25">
      <c r="A359" s="1179"/>
      <c r="B359" s="1884" t="s">
        <v>109</v>
      </c>
      <c r="C359" s="409"/>
      <c r="D359" s="1217" t="s">
        <v>463</v>
      </c>
      <c r="E359" s="1217" t="s">
        <v>495</v>
      </c>
      <c r="F359" s="409" t="s">
        <v>82</v>
      </c>
      <c r="G359" s="1885"/>
      <c r="H359" s="1682">
        <f>H365+H364</f>
        <v>5480</v>
      </c>
      <c r="I359" s="529"/>
      <c r="J359" s="269"/>
      <c r="K359" s="1858"/>
      <c r="L359" s="1858"/>
      <c r="M359" s="1858"/>
      <c r="N359" s="1200">
        <f>N360</f>
        <v>9560</v>
      </c>
      <c r="O359" s="1858"/>
      <c r="P359" s="1858"/>
      <c r="Q359" s="1858"/>
      <c r="R359" s="1858"/>
      <c r="S359" s="1858"/>
      <c r="T359" s="1858"/>
      <c r="U359" s="1682">
        <f>U360</f>
        <v>8643.2000000000007</v>
      </c>
    </row>
    <row r="360" spans="1:26" ht="30.75" customHeight="1" x14ac:dyDescent="0.25">
      <c r="A360" s="1179"/>
      <c r="B360" s="1205" t="s">
        <v>184</v>
      </c>
      <c r="C360" s="409"/>
      <c r="D360" s="1217" t="s">
        <v>463</v>
      </c>
      <c r="E360" s="1217" t="s">
        <v>495</v>
      </c>
      <c r="F360" s="409" t="s">
        <v>33</v>
      </c>
      <c r="G360" s="1885"/>
      <c r="H360" s="1682">
        <f>H364+H362</f>
        <v>5480</v>
      </c>
      <c r="I360" s="529"/>
      <c r="J360" s="269"/>
      <c r="K360" s="1858"/>
      <c r="L360" s="1858"/>
      <c r="M360" s="1858"/>
      <c r="N360" s="1200">
        <f t="shared" ref="N360:U360" si="73">N364+N362</f>
        <v>9560</v>
      </c>
      <c r="O360" s="1858">
        <f t="shared" si="73"/>
        <v>0</v>
      </c>
      <c r="P360" s="1858">
        <f t="shared" si="73"/>
        <v>0</v>
      </c>
      <c r="Q360" s="1858">
        <f t="shared" si="73"/>
        <v>0</v>
      </c>
      <c r="R360" s="1858">
        <f t="shared" si="73"/>
        <v>0</v>
      </c>
      <c r="S360" s="1858">
        <f t="shared" si="73"/>
        <v>0</v>
      </c>
      <c r="T360" s="1858">
        <f t="shared" si="73"/>
        <v>0</v>
      </c>
      <c r="U360" s="1682">
        <f t="shared" si="73"/>
        <v>8643.2000000000007</v>
      </c>
    </row>
    <row r="361" spans="1:26" ht="30.75" customHeight="1" x14ac:dyDescent="0.25">
      <c r="A361" s="1179"/>
      <c r="B361" s="2338" t="s">
        <v>948</v>
      </c>
      <c r="C361" s="409"/>
      <c r="D361" s="1217" t="s">
        <v>463</v>
      </c>
      <c r="E361" s="1217" t="s">
        <v>495</v>
      </c>
      <c r="F361" s="409" t="s">
        <v>33</v>
      </c>
      <c r="G361" s="1885" t="s">
        <v>955</v>
      </c>
      <c r="H361" s="1682">
        <f>H362</f>
        <v>0</v>
      </c>
      <c r="I361" s="529"/>
      <c r="J361" s="269"/>
      <c r="K361" s="1858"/>
      <c r="L361" s="1858"/>
      <c r="M361" s="1858"/>
      <c r="N361" s="1200">
        <f t="shared" ref="N361:U361" si="74">N362</f>
        <v>4000</v>
      </c>
      <c r="O361" s="1858">
        <f t="shared" si="74"/>
        <v>0</v>
      </c>
      <c r="P361" s="1858">
        <f t="shared" si="74"/>
        <v>0</v>
      </c>
      <c r="Q361" s="1858">
        <f t="shared" si="74"/>
        <v>0</v>
      </c>
      <c r="R361" s="1858">
        <f t="shared" si="74"/>
        <v>0</v>
      </c>
      <c r="S361" s="1858">
        <f t="shared" si="74"/>
        <v>0</v>
      </c>
      <c r="T361" s="1858">
        <f t="shared" si="74"/>
        <v>0</v>
      </c>
      <c r="U361" s="1682">
        <f t="shared" si="74"/>
        <v>4000</v>
      </c>
    </row>
    <row r="362" spans="1:26" ht="30.75" customHeight="1" x14ac:dyDescent="0.25">
      <c r="A362" s="1179"/>
      <c r="B362" s="2338" t="s">
        <v>454</v>
      </c>
      <c r="C362" s="409"/>
      <c r="D362" s="1217" t="s">
        <v>463</v>
      </c>
      <c r="E362" s="1217" t="s">
        <v>495</v>
      </c>
      <c r="F362" s="409" t="s">
        <v>33</v>
      </c>
      <c r="G362" s="1885" t="s">
        <v>1</v>
      </c>
      <c r="H362" s="1682">
        <v>0</v>
      </c>
      <c r="I362" s="529"/>
      <c r="J362" s="269"/>
      <c r="K362" s="1858"/>
      <c r="L362" s="1858"/>
      <c r="M362" s="1858"/>
      <c r="N362" s="1200">
        <v>4000</v>
      </c>
      <c r="O362" s="1858"/>
      <c r="P362" s="1858"/>
      <c r="Q362" s="1858"/>
      <c r="R362" s="1858"/>
      <c r="S362" s="1858"/>
      <c r="T362" s="1858"/>
      <c r="U362" s="1682">
        <v>4000</v>
      </c>
    </row>
    <row r="363" spans="1:26" ht="19.5" customHeight="1" x14ac:dyDescent="0.25">
      <c r="A363" s="1179"/>
      <c r="B363" s="1884" t="s">
        <v>1068</v>
      </c>
      <c r="C363" s="409"/>
      <c r="D363" s="1217" t="s">
        <v>463</v>
      </c>
      <c r="E363" s="1217" t="s">
        <v>495</v>
      </c>
      <c r="F363" s="409" t="s">
        <v>33</v>
      </c>
      <c r="G363" s="1885" t="s">
        <v>1064</v>
      </c>
      <c r="H363" s="1682">
        <f t="shared" ref="H363:U363" si="75">H364</f>
        <v>5480</v>
      </c>
      <c r="I363" s="529">
        <f t="shared" si="75"/>
        <v>0</v>
      </c>
      <c r="J363" s="269">
        <f t="shared" si="75"/>
        <v>0</v>
      </c>
      <c r="K363" s="1858">
        <f t="shared" si="75"/>
        <v>0</v>
      </c>
      <c r="L363" s="1858">
        <f t="shared" si="75"/>
        <v>0</v>
      </c>
      <c r="M363" s="1858">
        <f t="shared" si="75"/>
        <v>0</v>
      </c>
      <c r="N363" s="1200">
        <f t="shared" si="75"/>
        <v>5560</v>
      </c>
      <c r="O363" s="1858">
        <f t="shared" si="75"/>
        <v>0</v>
      </c>
      <c r="P363" s="1858">
        <f t="shared" si="75"/>
        <v>0</v>
      </c>
      <c r="Q363" s="1858">
        <f t="shared" si="75"/>
        <v>0</v>
      </c>
      <c r="R363" s="1858">
        <f t="shared" si="75"/>
        <v>0</v>
      </c>
      <c r="S363" s="1858">
        <f t="shared" si="75"/>
        <v>0</v>
      </c>
      <c r="T363" s="1858">
        <f t="shared" si="75"/>
        <v>0</v>
      </c>
      <c r="U363" s="1682">
        <f t="shared" si="75"/>
        <v>4643.2</v>
      </c>
    </row>
    <row r="364" spans="1:26" ht="30.75" customHeight="1" x14ac:dyDescent="0.25">
      <c r="A364" s="1179"/>
      <c r="B364" s="1182" t="s">
        <v>1034</v>
      </c>
      <c r="C364" s="409"/>
      <c r="D364" s="1217" t="s">
        <v>463</v>
      </c>
      <c r="E364" s="1217" t="s">
        <v>495</v>
      </c>
      <c r="F364" s="409" t="s">
        <v>33</v>
      </c>
      <c r="G364" s="1885" t="s">
        <v>521</v>
      </c>
      <c r="H364" s="1682">
        <v>5480</v>
      </c>
      <c r="I364" s="529"/>
      <c r="J364" s="269"/>
      <c r="K364" s="1858"/>
      <c r="L364" s="1858"/>
      <c r="M364" s="1858"/>
      <c r="N364" s="1200">
        <v>5560</v>
      </c>
      <c r="O364" s="1858"/>
      <c r="P364" s="1858"/>
      <c r="Q364" s="1858"/>
      <c r="R364" s="1858"/>
      <c r="S364" s="1858"/>
      <c r="T364" s="1858"/>
      <c r="U364" s="1682">
        <f>5643.2-1000</f>
        <v>4643.2</v>
      </c>
    </row>
    <row r="365" spans="1:26" ht="30.75" hidden="1" customHeight="1" x14ac:dyDescent="0.25">
      <c r="A365" s="1179"/>
      <c r="B365" s="2314" t="s">
        <v>1109</v>
      </c>
      <c r="C365" s="409"/>
      <c r="D365" s="1217" t="s">
        <v>463</v>
      </c>
      <c r="E365" s="1217" t="s">
        <v>495</v>
      </c>
      <c r="F365" s="409" t="s">
        <v>1108</v>
      </c>
      <c r="G365" s="1885"/>
      <c r="H365" s="1682">
        <f>H366</f>
        <v>0</v>
      </c>
      <c r="I365" s="529"/>
      <c r="J365" s="269"/>
      <c r="K365" s="1858"/>
      <c r="L365" s="1858"/>
      <c r="M365" s="1858"/>
      <c r="N365" s="1200">
        <f>N366</f>
        <v>0</v>
      </c>
      <c r="O365" s="1858"/>
      <c r="P365" s="1858"/>
      <c r="Q365" s="1858"/>
      <c r="R365" s="1858"/>
      <c r="S365" s="1858"/>
      <c r="T365" s="1858"/>
      <c r="U365" s="1682">
        <f>U366</f>
        <v>0</v>
      </c>
    </row>
    <row r="366" spans="1:26" ht="30.75" hidden="1" customHeight="1" x14ac:dyDescent="0.25">
      <c r="A366" s="1179"/>
      <c r="B366" s="1884" t="s">
        <v>454</v>
      </c>
      <c r="C366" s="409"/>
      <c r="D366" s="1217" t="s">
        <v>463</v>
      </c>
      <c r="E366" s="1217" t="s">
        <v>495</v>
      </c>
      <c r="F366" s="409" t="s">
        <v>1108</v>
      </c>
      <c r="G366" s="1662" t="s">
        <v>1</v>
      </c>
      <c r="H366" s="1682"/>
      <c r="I366" s="529"/>
      <c r="J366" s="269"/>
      <c r="K366" s="1858"/>
      <c r="L366" s="1858"/>
      <c r="M366" s="1858"/>
      <c r="N366" s="1200">
        <v>0</v>
      </c>
      <c r="O366" s="1858"/>
      <c r="P366" s="1858"/>
      <c r="Q366" s="1858"/>
      <c r="R366" s="1858"/>
      <c r="S366" s="1858"/>
      <c r="T366" s="1858"/>
      <c r="U366" s="1682">
        <v>0</v>
      </c>
      <c r="Z366" s="1">
        <v>122</v>
      </c>
    </row>
    <row r="367" spans="1:26" x14ac:dyDescent="0.25">
      <c r="A367" s="1179"/>
      <c r="B367" s="1184" t="s">
        <v>348</v>
      </c>
      <c r="C367" s="1177"/>
      <c r="D367" s="408" t="s">
        <v>506</v>
      </c>
      <c r="E367" s="408" t="s">
        <v>459</v>
      </c>
      <c r="F367" s="408"/>
      <c r="G367" s="1661"/>
      <c r="H367" s="1683">
        <f t="shared" ref="H367:J369" si="76">H368</f>
        <v>362</v>
      </c>
      <c r="I367" s="841">
        <f t="shared" si="76"/>
        <v>0</v>
      </c>
      <c r="J367" s="276">
        <f t="shared" si="76"/>
        <v>0</v>
      </c>
      <c r="K367" s="1858"/>
      <c r="L367" s="1858"/>
      <c r="M367" s="1858"/>
      <c r="N367" s="1208">
        <f t="shared" ref="N367:N369" si="77">N368</f>
        <v>377</v>
      </c>
      <c r="O367" s="1858"/>
      <c r="P367" s="1858"/>
      <c r="Q367" s="1858"/>
      <c r="R367" s="1858"/>
      <c r="S367" s="1858"/>
      <c r="T367" s="1858"/>
      <c r="U367" s="1683">
        <f t="shared" ref="U367:U369" si="78">U368</f>
        <v>392</v>
      </c>
    </row>
    <row r="368" spans="1:26" x14ac:dyDescent="0.25">
      <c r="A368" s="842"/>
      <c r="B368" s="1184" t="s">
        <v>964</v>
      </c>
      <c r="C368" s="1177"/>
      <c r="D368" s="408" t="s">
        <v>506</v>
      </c>
      <c r="E368" s="408" t="s">
        <v>506</v>
      </c>
      <c r="F368" s="408"/>
      <c r="G368" s="1661"/>
      <c r="H368" s="1683">
        <f t="shared" si="76"/>
        <v>362</v>
      </c>
      <c r="I368" s="841">
        <f t="shared" si="76"/>
        <v>0</v>
      </c>
      <c r="J368" s="276">
        <f t="shared" si="76"/>
        <v>0</v>
      </c>
      <c r="K368" s="1858"/>
      <c r="L368" s="1858"/>
      <c r="M368" s="1858"/>
      <c r="N368" s="1208">
        <f t="shared" si="77"/>
        <v>377</v>
      </c>
      <c r="O368" s="1858"/>
      <c r="P368" s="1858"/>
      <c r="Q368" s="1858"/>
      <c r="R368" s="1858"/>
      <c r="S368" s="1858"/>
      <c r="T368" s="1858"/>
      <c r="U368" s="1683">
        <f t="shared" si="78"/>
        <v>392</v>
      </c>
    </row>
    <row r="369" spans="1:21" ht="21" x14ac:dyDescent="0.25">
      <c r="A369" s="1179"/>
      <c r="B369" s="1205" t="s">
        <v>932</v>
      </c>
      <c r="C369" s="1180"/>
      <c r="D369" s="409" t="s">
        <v>506</v>
      </c>
      <c r="E369" s="409" t="s">
        <v>506</v>
      </c>
      <c r="F369" s="409" t="s">
        <v>273</v>
      </c>
      <c r="G369" s="1662"/>
      <c r="H369" s="1682">
        <f t="shared" si="76"/>
        <v>362</v>
      </c>
      <c r="I369" s="529">
        <f t="shared" si="76"/>
        <v>0</v>
      </c>
      <c r="J369" s="269">
        <f t="shared" si="76"/>
        <v>0</v>
      </c>
      <c r="K369" s="1858"/>
      <c r="L369" s="1858"/>
      <c r="M369" s="1858"/>
      <c r="N369" s="1200">
        <f t="shared" si="77"/>
        <v>377</v>
      </c>
      <c r="O369" s="1858"/>
      <c r="P369" s="1858"/>
      <c r="Q369" s="1858"/>
      <c r="R369" s="1858"/>
      <c r="S369" s="1858"/>
      <c r="T369" s="1858"/>
      <c r="U369" s="1682">
        <f t="shared" si="78"/>
        <v>392</v>
      </c>
    </row>
    <row r="370" spans="1:21" ht="21" x14ac:dyDescent="0.25">
      <c r="A370" s="1179"/>
      <c r="B370" s="1205" t="s">
        <v>909</v>
      </c>
      <c r="C370" s="1180"/>
      <c r="D370" s="409" t="s">
        <v>506</v>
      </c>
      <c r="E370" s="409" t="s">
        <v>506</v>
      </c>
      <c r="F370" s="409" t="s">
        <v>271</v>
      </c>
      <c r="G370" s="1662"/>
      <c r="H370" s="1682">
        <f>H371+H374</f>
        <v>362</v>
      </c>
      <c r="I370" s="529">
        <f>I371+I374</f>
        <v>0</v>
      </c>
      <c r="J370" s="269">
        <f>J371+J374</f>
        <v>0</v>
      </c>
      <c r="K370" s="1862">
        <v>348</v>
      </c>
      <c r="L370" s="1858"/>
      <c r="M370" s="1858"/>
      <c r="N370" s="1200">
        <f>N371+N374</f>
        <v>377</v>
      </c>
      <c r="O370" s="1858"/>
      <c r="P370" s="1858"/>
      <c r="Q370" s="1858"/>
      <c r="R370" s="1858"/>
      <c r="S370" s="1858"/>
      <c r="T370" s="1858"/>
      <c r="U370" s="1682">
        <f>U371+U374</f>
        <v>392</v>
      </c>
    </row>
    <row r="371" spans="1:21" ht="31.5" hidden="1" x14ac:dyDescent="0.25">
      <c r="A371" s="1179"/>
      <c r="B371" s="1205" t="s">
        <v>270</v>
      </c>
      <c r="C371" s="1180"/>
      <c r="D371" s="409" t="s">
        <v>506</v>
      </c>
      <c r="E371" s="409" t="s">
        <v>506</v>
      </c>
      <c r="F371" s="409" t="s">
        <v>267</v>
      </c>
      <c r="G371" s="1662"/>
      <c r="H371" s="1682">
        <f t="shared" ref="H371:J372" si="79">H372</f>
        <v>0</v>
      </c>
      <c r="I371" s="529">
        <f t="shared" si="79"/>
        <v>0</v>
      </c>
      <c r="J371" s="269">
        <f t="shared" si="79"/>
        <v>0</v>
      </c>
      <c r="K371" s="1858"/>
      <c r="L371" s="1858"/>
      <c r="M371" s="1858"/>
      <c r="N371" s="1200">
        <f t="shared" ref="N371:N372" si="80">N372</f>
        <v>0</v>
      </c>
      <c r="O371" s="1858"/>
      <c r="P371" s="1858"/>
      <c r="Q371" s="1858"/>
      <c r="R371" s="1858"/>
      <c r="S371" s="1858"/>
      <c r="T371" s="1858"/>
      <c r="U371" s="1682">
        <f t="shared" ref="U371:U372" si="81">U372</f>
        <v>0</v>
      </c>
    </row>
    <row r="372" spans="1:21" hidden="1" x14ac:dyDescent="0.25">
      <c r="A372" s="1233"/>
      <c r="B372" s="1250" t="s">
        <v>4</v>
      </c>
      <c r="C372" s="1180"/>
      <c r="D372" s="409" t="s">
        <v>506</v>
      </c>
      <c r="E372" s="409" t="s">
        <v>506</v>
      </c>
      <c r="F372" s="409" t="s">
        <v>507</v>
      </c>
      <c r="G372" s="1662"/>
      <c r="H372" s="1682">
        <f t="shared" si="79"/>
        <v>0</v>
      </c>
      <c r="I372" s="529">
        <f t="shared" si="79"/>
        <v>0</v>
      </c>
      <c r="J372" s="269">
        <f t="shared" si="79"/>
        <v>0</v>
      </c>
      <c r="K372" s="1858"/>
      <c r="L372" s="1858"/>
      <c r="M372" s="1858"/>
      <c r="N372" s="1200">
        <f t="shared" si="80"/>
        <v>0</v>
      </c>
      <c r="O372" s="1858"/>
      <c r="P372" s="1858"/>
      <c r="Q372" s="1858"/>
      <c r="R372" s="1858"/>
      <c r="S372" s="1858"/>
      <c r="T372" s="1858"/>
      <c r="U372" s="1682">
        <f t="shared" si="81"/>
        <v>0</v>
      </c>
    </row>
    <row r="373" spans="1:21" ht="21" hidden="1" x14ac:dyDescent="0.25">
      <c r="A373" s="1233"/>
      <c r="B373" s="1197" t="s">
        <v>268</v>
      </c>
      <c r="C373" s="1183"/>
      <c r="D373" s="409" t="s">
        <v>506</v>
      </c>
      <c r="E373" s="409" t="s">
        <v>506</v>
      </c>
      <c r="F373" s="409" t="s">
        <v>507</v>
      </c>
      <c r="G373" s="1662" t="s">
        <v>1</v>
      </c>
      <c r="H373" s="1682"/>
      <c r="I373" s="529"/>
      <c r="J373" s="269"/>
      <c r="K373" s="1858"/>
      <c r="L373" s="1858"/>
      <c r="M373" s="1858"/>
      <c r="N373" s="1200"/>
      <c r="O373" s="1858"/>
      <c r="P373" s="1858"/>
      <c r="Q373" s="1858"/>
      <c r="R373" s="1858"/>
      <c r="S373" s="1858"/>
      <c r="T373" s="1858"/>
      <c r="U373" s="1682"/>
    </row>
    <row r="374" spans="1:21" ht="21" x14ac:dyDescent="0.25">
      <c r="A374" s="1233"/>
      <c r="B374" s="753" t="s">
        <v>268</v>
      </c>
      <c r="C374" s="1183"/>
      <c r="D374" s="409" t="s">
        <v>506</v>
      </c>
      <c r="E374" s="409" t="s">
        <v>506</v>
      </c>
      <c r="F374" s="409" t="s">
        <v>267</v>
      </c>
      <c r="G374" s="1662"/>
      <c r="H374" s="1682">
        <f>H378+H375</f>
        <v>362</v>
      </c>
      <c r="I374" s="529">
        <f>I378</f>
        <v>0</v>
      </c>
      <c r="J374" s="269">
        <f>J378</f>
        <v>0</v>
      </c>
      <c r="K374" s="1858"/>
      <c r="L374" s="1858"/>
      <c r="M374" s="1858"/>
      <c r="N374" s="1682">
        <f>N378+N375</f>
        <v>377</v>
      </c>
      <c r="O374" s="1858"/>
      <c r="P374" s="1858"/>
      <c r="Q374" s="1858"/>
      <c r="R374" s="1858"/>
      <c r="S374" s="1858"/>
      <c r="T374" s="1858"/>
      <c r="U374" s="1682">
        <f>U378+U375</f>
        <v>392</v>
      </c>
    </row>
    <row r="375" spans="1:21" x14ac:dyDescent="0.25">
      <c r="A375" s="1233"/>
      <c r="B375" s="762" t="s">
        <v>1037</v>
      </c>
      <c r="C375" s="1183"/>
      <c r="D375" s="409" t="s">
        <v>506</v>
      </c>
      <c r="E375" s="409" t="s">
        <v>506</v>
      </c>
      <c r="F375" s="409" t="s">
        <v>507</v>
      </c>
      <c r="G375" s="1662"/>
      <c r="H375" s="1682">
        <f>H377</f>
        <v>112</v>
      </c>
      <c r="I375" s="529"/>
      <c r="J375" s="269"/>
      <c r="K375" s="1858"/>
      <c r="L375" s="1858"/>
      <c r="M375" s="1858"/>
      <c r="N375" s="1200">
        <f>N377</f>
        <v>117</v>
      </c>
      <c r="O375" s="1858"/>
      <c r="P375" s="1858"/>
      <c r="Q375" s="1858"/>
      <c r="R375" s="1858"/>
      <c r="S375" s="1858"/>
      <c r="T375" s="1858"/>
      <c r="U375" s="1682">
        <f>U377</f>
        <v>122</v>
      </c>
    </row>
    <row r="376" spans="1:21" x14ac:dyDescent="0.25">
      <c r="A376" s="1233"/>
      <c r="B376" s="753" t="s">
        <v>948</v>
      </c>
      <c r="C376" s="1183"/>
      <c r="D376" s="409" t="s">
        <v>506</v>
      </c>
      <c r="E376" s="409" t="s">
        <v>506</v>
      </c>
      <c r="F376" s="409" t="s">
        <v>507</v>
      </c>
      <c r="G376" s="1662" t="s">
        <v>955</v>
      </c>
      <c r="H376" s="1682"/>
      <c r="I376" s="529"/>
      <c r="J376" s="269"/>
      <c r="K376" s="1858"/>
      <c r="L376" s="1858"/>
      <c r="M376" s="1858"/>
      <c r="N376" s="1200"/>
      <c r="O376" s="1858"/>
      <c r="P376" s="1858"/>
      <c r="Q376" s="1858"/>
      <c r="R376" s="1858"/>
      <c r="S376" s="1858"/>
      <c r="T376" s="1858"/>
      <c r="U376" s="1682"/>
    </row>
    <row r="377" spans="1:21" ht="21" x14ac:dyDescent="0.25">
      <c r="A377" s="1233"/>
      <c r="B377" s="1191" t="s">
        <v>454</v>
      </c>
      <c r="C377" s="1183"/>
      <c r="D377" s="409" t="s">
        <v>506</v>
      </c>
      <c r="E377" s="409" t="s">
        <v>506</v>
      </c>
      <c r="F377" s="409" t="s">
        <v>507</v>
      </c>
      <c r="G377" s="1662" t="s">
        <v>1</v>
      </c>
      <c r="H377" s="1682">
        <v>112</v>
      </c>
      <c r="I377" s="529"/>
      <c r="J377" s="269"/>
      <c r="K377" s="1858"/>
      <c r="L377" s="1858"/>
      <c r="M377" s="1858"/>
      <c r="N377" s="1200">
        <v>117</v>
      </c>
      <c r="O377" s="1858"/>
      <c r="P377" s="1858"/>
      <c r="Q377" s="1858"/>
      <c r="R377" s="1858"/>
      <c r="S377" s="1858"/>
      <c r="T377" s="1858"/>
      <c r="U377" s="1682">
        <v>122</v>
      </c>
    </row>
    <row r="378" spans="1:21" x14ac:dyDescent="0.25">
      <c r="A378" s="1179"/>
      <c r="B378" s="1205" t="s">
        <v>266</v>
      </c>
      <c r="C378" s="1180"/>
      <c r="D378" s="409" t="s">
        <v>506</v>
      </c>
      <c r="E378" s="409" t="s">
        <v>506</v>
      </c>
      <c r="F378" s="409" t="s">
        <v>263</v>
      </c>
      <c r="G378" s="1662"/>
      <c r="H378" s="1682">
        <f t="shared" ref="H378:J378" si="82">H380</f>
        <v>250</v>
      </c>
      <c r="I378" s="529">
        <f t="shared" si="82"/>
        <v>0</v>
      </c>
      <c r="J378" s="269">
        <f t="shared" si="82"/>
        <v>0</v>
      </c>
      <c r="K378" s="1858"/>
      <c r="L378" s="1858"/>
      <c r="M378" s="1858"/>
      <c r="N378" s="1200">
        <f t="shared" ref="N378" si="83">N380</f>
        <v>260</v>
      </c>
      <c r="O378" s="1858"/>
      <c r="P378" s="1858"/>
      <c r="Q378" s="1858"/>
      <c r="R378" s="1858"/>
      <c r="S378" s="1858"/>
      <c r="T378" s="1858"/>
      <c r="U378" s="1682">
        <f t="shared" ref="U378" si="84">U380</f>
        <v>270</v>
      </c>
    </row>
    <row r="379" spans="1:21" x14ac:dyDescent="0.25">
      <c r="A379" s="1179"/>
      <c r="B379" s="753" t="s">
        <v>948</v>
      </c>
      <c r="C379" s="1180"/>
      <c r="D379" s="409" t="s">
        <v>506</v>
      </c>
      <c r="E379" s="409" t="s">
        <v>506</v>
      </c>
      <c r="F379" s="409" t="s">
        <v>263</v>
      </c>
      <c r="G379" s="1662" t="s">
        <v>955</v>
      </c>
      <c r="H379" s="1682">
        <f t="shared" ref="H379:U379" si="85">H380</f>
        <v>250</v>
      </c>
      <c r="I379" s="529">
        <f t="shared" si="85"/>
        <v>0</v>
      </c>
      <c r="J379" s="269">
        <f t="shared" si="85"/>
        <v>0</v>
      </c>
      <c r="K379" s="1858">
        <f t="shared" si="85"/>
        <v>0</v>
      </c>
      <c r="L379" s="1858">
        <f t="shared" si="85"/>
        <v>0</v>
      </c>
      <c r="M379" s="1858">
        <f t="shared" si="85"/>
        <v>0</v>
      </c>
      <c r="N379" s="1200">
        <f t="shared" si="85"/>
        <v>260</v>
      </c>
      <c r="O379" s="1858">
        <f t="shared" si="85"/>
        <v>0</v>
      </c>
      <c r="P379" s="1858">
        <f t="shared" si="85"/>
        <v>0</v>
      </c>
      <c r="Q379" s="1858">
        <f t="shared" si="85"/>
        <v>0</v>
      </c>
      <c r="R379" s="1858">
        <f t="shared" si="85"/>
        <v>0</v>
      </c>
      <c r="S379" s="1858">
        <f t="shared" si="85"/>
        <v>0</v>
      </c>
      <c r="T379" s="1858">
        <f t="shared" si="85"/>
        <v>0</v>
      </c>
      <c r="U379" s="1682">
        <f t="shared" si="85"/>
        <v>270</v>
      </c>
    </row>
    <row r="380" spans="1:21" ht="21" x14ac:dyDescent="0.25">
      <c r="A380" s="1179"/>
      <c r="B380" s="1191" t="s">
        <v>454</v>
      </c>
      <c r="C380" s="1183"/>
      <c r="D380" s="409" t="s">
        <v>506</v>
      </c>
      <c r="E380" s="409" t="s">
        <v>506</v>
      </c>
      <c r="F380" s="409" t="s">
        <v>263</v>
      </c>
      <c r="G380" s="1662" t="s">
        <v>1</v>
      </c>
      <c r="H380" s="1682">
        <v>250</v>
      </c>
      <c r="I380" s="529"/>
      <c r="J380" s="269"/>
      <c r="K380" s="1858"/>
      <c r="L380" s="1858"/>
      <c r="M380" s="1858"/>
      <c r="N380" s="1200">
        <v>260</v>
      </c>
      <c r="O380" s="1858"/>
      <c r="P380" s="1858"/>
      <c r="Q380" s="1858"/>
      <c r="R380" s="1858"/>
      <c r="S380" s="1858"/>
      <c r="T380" s="1858"/>
      <c r="U380" s="1682">
        <v>270</v>
      </c>
    </row>
    <row r="381" spans="1:21" s="760" customFormat="1" ht="13" x14ac:dyDescent="0.3">
      <c r="A381" s="842"/>
      <c r="B381" s="1251" t="s">
        <v>460</v>
      </c>
      <c r="C381" s="408"/>
      <c r="D381" s="1221" t="s">
        <v>453</v>
      </c>
      <c r="E381" s="1221" t="s">
        <v>459</v>
      </c>
      <c r="F381" s="408"/>
      <c r="G381" s="1661"/>
      <c r="H381" s="1683">
        <f>H382+H401</f>
        <v>16754.307999999997</v>
      </c>
      <c r="I381" s="841"/>
      <c r="J381" s="276"/>
      <c r="K381" s="1860"/>
      <c r="L381" s="1860"/>
      <c r="M381" s="1860"/>
      <c r="N381" s="1208">
        <f>N382+N401</f>
        <v>19009.802</v>
      </c>
      <c r="O381" s="1860"/>
      <c r="P381" s="1860"/>
      <c r="Q381" s="1860"/>
      <c r="R381" s="1860"/>
      <c r="S381" s="1860"/>
      <c r="T381" s="1860"/>
      <c r="U381" s="1683">
        <f>U382+U401</f>
        <v>18539.767</v>
      </c>
    </row>
    <row r="382" spans="1:21" x14ac:dyDescent="0.25">
      <c r="A382" s="1179"/>
      <c r="B382" s="1173" t="s">
        <v>87</v>
      </c>
      <c r="C382" s="1177"/>
      <c r="D382" s="408" t="s">
        <v>453</v>
      </c>
      <c r="E382" s="408" t="s">
        <v>456</v>
      </c>
      <c r="F382" s="408"/>
      <c r="G382" s="1661"/>
      <c r="H382" s="1683">
        <f>H383+H393</f>
        <v>11894.307999999999</v>
      </c>
      <c r="I382" s="841">
        <f>I383+I394</f>
        <v>0</v>
      </c>
      <c r="J382" s="276">
        <f>J383+J394</f>
        <v>0</v>
      </c>
      <c r="K382" s="1858"/>
      <c r="L382" s="1858"/>
      <c r="M382" s="1858"/>
      <c r="N382" s="1208">
        <f>N383+N393</f>
        <v>11695.482</v>
      </c>
      <c r="O382" s="1858"/>
      <c r="P382" s="1858"/>
      <c r="Q382" s="1858"/>
      <c r="R382" s="1858"/>
      <c r="S382" s="1858"/>
      <c r="T382" s="1858"/>
      <c r="U382" s="1683">
        <f>U383+U393</f>
        <v>10932.877</v>
      </c>
    </row>
    <row r="383" spans="1:21" ht="24.75" customHeight="1" x14ac:dyDescent="0.25">
      <c r="A383" s="1179"/>
      <c r="B383" s="753" t="s">
        <v>932</v>
      </c>
      <c r="C383" s="1177"/>
      <c r="D383" s="409" t="s">
        <v>453</v>
      </c>
      <c r="E383" s="409" t="s">
        <v>456</v>
      </c>
      <c r="F383" s="409" t="s">
        <v>273</v>
      </c>
      <c r="G383" s="1661"/>
      <c r="H383" s="1683">
        <f>H384</f>
        <v>11894.307999999999</v>
      </c>
      <c r="I383" s="841">
        <f t="shared" ref="I383:J385" si="86">I384</f>
        <v>0</v>
      </c>
      <c r="J383" s="276">
        <f t="shared" si="86"/>
        <v>0</v>
      </c>
      <c r="K383" s="1862">
        <f>K388+K390+K392+K397+K407+K400</f>
        <v>976.8</v>
      </c>
      <c r="L383" s="1858"/>
      <c r="M383" s="1858"/>
      <c r="N383" s="1208">
        <f>N384</f>
        <v>11695.482</v>
      </c>
      <c r="O383" s="1858"/>
      <c r="P383" s="1858"/>
      <c r="Q383" s="1858"/>
      <c r="R383" s="1858"/>
      <c r="S383" s="1858"/>
      <c r="T383" s="1858"/>
      <c r="U383" s="1683">
        <f>U384</f>
        <v>10932.877</v>
      </c>
    </row>
    <row r="384" spans="1:21" ht="27.75" customHeight="1" x14ac:dyDescent="0.25">
      <c r="A384" s="1179"/>
      <c r="B384" s="1205" t="s">
        <v>911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11894.307999999999</v>
      </c>
      <c r="I384" s="529">
        <f t="shared" si="86"/>
        <v>0</v>
      </c>
      <c r="J384" s="269">
        <f t="shared" si="86"/>
        <v>0</v>
      </c>
      <c r="K384" s="1858"/>
      <c r="L384" s="1858"/>
      <c r="M384" s="1858"/>
      <c r="N384" s="1200">
        <f>N385</f>
        <v>11695.482</v>
      </c>
      <c r="O384" s="1858"/>
      <c r="P384" s="1858"/>
      <c r="Q384" s="1858"/>
      <c r="R384" s="1858"/>
      <c r="S384" s="1858"/>
      <c r="T384" s="1858"/>
      <c r="U384" s="1682">
        <f>U385</f>
        <v>10932.877</v>
      </c>
    </row>
    <row r="385" spans="1:27" x14ac:dyDescent="0.25">
      <c r="A385" s="842"/>
      <c r="B385" s="1205" t="s">
        <v>259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7">
        <f>H388+H390+H392+H400</f>
        <v>11894.307999999999</v>
      </c>
      <c r="I385" s="1655">
        <f t="shared" si="86"/>
        <v>0</v>
      </c>
      <c r="J385" s="1656">
        <f t="shared" si="86"/>
        <v>0</v>
      </c>
      <c r="K385" s="1886"/>
      <c r="L385" s="1886"/>
      <c r="M385" s="1886"/>
      <c r="N385" s="1654">
        <f>N388+N390+N392+N400</f>
        <v>11695.482</v>
      </c>
      <c r="O385" s="1886"/>
      <c r="P385" s="1886"/>
      <c r="Q385" s="1886"/>
      <c r="R385" s="1886"/>
      <c r="S385" s="1886"/>
      <c r="T385" s="1886"/>
      <c r="U385" s="1687">
        <f>U388+U390+U392+U400</f>
        <v>10932.877</v>
      </c>
    </row>
    <row r="386" spans="1:27" x14ac:dyDescent="0.25">
      <c r="A386" s="842"/>
      <c r="B386" s="1197" t="s">
        <v>351</v>
      </c>
      <c r="C386" s="1180"/>
      <c r="D386" s="409" t="s">
        <v>453</v>
      </c>
      <c r="E386" s="409" t="s">
        <v>456</v>
      </c>
      <c r="F386" s="409" t="s">
        <v>254</v>
      </c>
      <c r="G386" s="1662"/>
      <c r="H386" s="1687">
        <f>H388+H390+H392</f>
        <v>8671.3079999999991</v>
      </c>
      <c r="I386" s="1655">
        <f>I388</f>
        <v>0</v>
      </c>
      <c r="J386" s="1656">
        <f>J388</f>
        <v>0</v>
      </c>
      <c r="K386" s="1886"/>
      <c r="L386" s="1886"/>
      <c r="M386" s="1886"/>
      <c r="N386" s="1654">
        <f>N388+N390+N392</f>
        <v>11695.482</v>
      </c>
      <c r="O386" s="1886"/>
      <c r="P386" s="1886"/>
      <c r="Q386" s="1886"/>
      <c r="R386" s="1886"/>
      <c r="S386" s="1886"/>
      <c r="T386" s="1886"/>
      <c r="U386" s="1687">
        <f>U388+U390+U392</f>
        <v>10932.877</v>
      </c>
    </row>
    <row r="387" spans="1:27" ht="52" x14ac:dyDescent="0.25">
      <c r="A387" s="842"/>
      <c r="B387" s="49" t="s">
        <v>1063</v>
      </c>
      <c r="C387" s="1180"/>
      <c r="D387" s="409" t="s">
        <v>453</v>
      </c>
      <c r="E387" s="409" t="s">
        <v>456</v>
      </c>
      <c r="F387" s="409" t="s">
        <v>254</v>
      </c>
      <c r="G387" s="1662" t="s">
        <v>1062</v>
      </c>
      <c r="H387" s="1687">
        <f t="shared" ref="H387:U387" si="87">H388</f>
        <v>7411.9359999999997</v>
      </c>
      <c r="I387" s="1655">
        <f t="shared" si="87"/>
        <v>0</v>
      </c>
      <c r="J387" s="1656">
        <f t="shared" si="87"/>
        <v>0</v>
      </c>
      <c r="K387" s="1886">
        <f t="shared" si="87"/>
        <v>0</v>
      </c>
      <c r="L387" s="1886">
        <f t="shared" si="87"/>
        <v>0</v>
      </c>
      <c r="M387" s="1886">
        <f t="shared" si="87"/>
        <v>0</v>
      </c>
      <c r="N387" s="1654">
        <f t="shared" si="87"/>
        <v>7708.4129999999996</v>
      </c>
      <c r="O387" s="1886">
        <f t="shared" si="87"/>
        <v>0</v>
      </c>
      <c r="P387" s="1886">
        <f t="shared" si="87"/>
        <v>0</v>
      </c>
      <c r="Q387" s="1886">
        <f t="shared" si="87"/>
        <v>0</v>
      </c>
      <c r="R387" s="1886">
        <f t="shared" si="87"/>
        <v>0</v>
      </c>
      <c r="S387" s="1886">
        <f t="shared" si="87"/>
        <v>0</v>
      </c>
      <c r="T387" s="1886">
        <f t="shared" si="87"/>
        <v>0</v>
      </c>
      <c r="U387" s="1687">
        <f t="shared" si="87"/>
        <v>8016.75</v>
      </c>
    </row>
    <row r="388" spans="1:27" x14ac:dyDescent="0.25">
      <c r="A388" s="842"/>
      <c r="B388" s="753" t="s">
        <v>840</v>
      </c>
      <c r="C388" s="1180"/>
      <c r="D388" s="409" t="s">
        <v>453</v>
      </c>
      <c r="E388" s="409" t="s">
        <v>456</v>
      </c>
      <c r="F388" s="409" t="s">
        <v>254</v>
      </c>
      <c r="G388" s="1662" t="s">
        <v>255</v>
      </c>
      <c r="H388" s="1682">
        <v>7411.9359999999997</v>
      </c>
      <c r="I388" s="529"/>
      <c r="J388" s="269"/>
      <c r="K388" s="1858"/>
      <c r="L388" s="1858"/>
      <c r="M388" s="1858"/>
      <c r="N388" s="1200">
        <v>7708.4129999999996</v>
      </c>
      <c r="O388" s="1858"/>
      <c r="P388" s="1858"/>
      <c r="Q388" s="1858"/>
      <c r="R388" s="1858"/>
      <c r="S388" s="1858"/>
      <c r="T388" s="1858"/>
      <c r="U388" s="1682">
        <v>8016.75</v>
      </c>
    </row>
    <row r="389" spans="1:27" x14ac:dyDescent="0.25">
      <c r="A389" s="842"/>
      <c r="B389" s="753" t="s">
        <v>948</v>
      </c>
      <c r="C389" s="1180"/>
      <c r="D389" s="409" t="s">
        <v>453</v>
      </c>
      <c r="E389" s="409" t="s">
        <v>456</v>
      </c>
      <c r="F389" s="409" t="s">
        <v>254</v>
      </c>
      <c r="G389" s="1662" t="s">
        <v>955</v>
      </c>
      <c r="H389" s="1682">
        <f t="shared" ref="H389:U389" si="88">H390</f>
        <v>1258.3719999999998</v>
      </c>
      <c r="I389" s="529">
        <f t="shared" si="88"/>
        <v>0</v>
      </c>
      <c r="J389" s="269">
        <f t="shared" si="88"/>
        <v>0</v>
      </c>
      <c r="K389" s="1858">
        <f t="shared" si="88"/>
        <v>0</v>
      </c>
      <c r="L389" s="1858">
        <f t="shared" si="88"/>
        <v>0</v>
      </c>
      <c r="M389" s="1858">
        <f t="shared" si="88"/>
        <v>0</v>
      </c>
      <c r="N389" s="1200">
        <f t="shared" si="88"/>
        <v>3986.069</v>
      </c>
      <c r="O389" s="1858">
        <f t="shared" si="88"/>
        <v>0</v>
      </c>
      <c r="P389" s="1858">
        <f t="shared" si="88"/>
        <v>0</v>
      </c>
      <c r="Q389" s="1858">
        <f t="shared" si="88"/>
        <v>0</v>
      </c>
      <c r="R389" s="1858">
        <f t="shared" si="88"/>
        <v>0</v>
      </c>
      <c r="S389" s="1858">
        <f t="shared" si="88"/>
        <v>0</v>
      </c>
      <c r="T389" s="1858">
        <f t="shared" si="88"/>
        <v>0</v>
      </c>
      <c r="U389" s="1682">
        <f t="shared" si="88"/>
        <v>2915.127</v>
      </c>
    </row>
    <row r="390" spans="1:27" ht="21" x14ac:dyDescent="0.25">
      <c r="A390" s="1179"/>
      <c r="B390" s="1182" t="s">
        <v>454</v>
      </c>
      <c r="C390" s="1183"/>
      <c r="D390" s="409" t="s">
        <v>453</v>
      </c>
      <c r="E390" s="409" t="s">
        <v>456</v>
      </c>
      <c r="F390" s="409" t="s">
        <v>254</v>
      </c>
      <c r="G390" s="1662" t="s">
        <v>1</v>
      </c>
      <c r="H390" s="1682">
        <f>3642.172-278.4-278.4-1827</f>
        <v>1258.3719999999998</v>
      </c>
      <c r="I390" s="529"/>
      <c r="J390" s="269"/>
      <c r="K390" s="1859"/>
      <c r="L390" s="1858"/>
      <c r="M390" s="1858"/>
      <c r="N390" s="1200">
        <f>3787.859-1134.89+1333.1</f>
        <v>3986.069</v>
      </c>
      <c r="O390" s="1858"/>
      <c r="P390" s="1858"/>
      <c r="Q390" s="1858"/>
      <c r="R390" s="1858"/>
      <c r="S390" s="1858"/>
      <c r="T390" s="1858"/>
      <c r="U390" s="1682">
        <f>3939.373-1024.286+0.04</f>
        <v>2915.127</v>
      </c>
      <c r="Z390" s="1">
        <f>-278.4*2</f>
        <v>-556.79999999999995</v>
      </c>
      <c r="AA390" s="1">
        <v>1333.1</v>
      </c>
    </row>
    <row r="391" spans="1:27" x14ac:dyDescent="0.25">
      <c r="A391" s="1179"/>
      <c r="B391" s="1182" t="s">
        <v>1068</v>
      </c>
      <c r="C391" s="1183"/>
      <c r="D391" s="409" t="s">
        <v>453</v>
      </c>
      <c r="E391" s="409" t="s">
        <v>456</v>
      </c>
      <c r="F391" s="409" t="s">
        <v>254</v>
      </c>
      <c r="G391" s="1662" t="s">
        <v>1064</v>
      </c>
      <c r="H391" s="1682">
        <f t="shared" ref="H391:U391" si="89">H392</f>
        <v>1</v>
      </c>
      <c r="I391" s="529">
        <f t="shared" si="89"/>
        <v>0</v>
      </c>
      <c r="J391" s="269">
        <f t="shared" si="89"/>
        <v>0</v>
      </c>
      <c r="K391" s="1859">
        <f t="shared" si="89"/>
        <v>0</v>
      </c>
      <c r="L391" s="1858">
        <f t="shared" si="89"/>
        <v>0</v>
      </c>
      <c r="M391" s="1858">
        <f t="shared" si="89"/>
        <v>0</v>
      </c>
      <c r="N391" s="1200">
        <f t="shared" si="89"/>
        <v>1</v>
      </c>
      <c r="O391" s="1858">
        <f t="shared" si="89"/>
        <v>0</v>
      </c>
      <c r="P391" s="1858">
        <f t="shared" si="89"/>
        <v>0</v>
      </c>
      <c r="Q391" s="1858">
        <f t="shared" si="89"/>
        <v>0</v>
      </c>
      <c r="R391" s="1858">
        <f t="shared" si="89"/>
        <v>0</v>
      </c>
      <c r="S391" s="1858">
        <f t="shared" si="89"/>
        <v>0</v>
      </c>
      <c r="T391" s="1858">
        <f t="shared" si="89"/>
        <v>0</v>
      </c>
      <c r="U391" s="1682">
        <f t="shared" si="89"/>
        <v>1</v>
      </c>
    </row>
    <row r="392" spans="1:27" x14ac:dyDescent="0.25">
      <c r="A392" s="1179"/>
      <c r="B392" s="1182" t="s">
        <v>457</v>
      </c>
      <c r="C392" s="1183"/>
      <c r="D392" s="409" t="s">
        <v>453</v>
      </c>
      <c r="E392" s="409" t="s">
        <v>456</v>
      </c>
      <c r="F392" s="409" t="s">
        <v>254</v>
      </c>
      <c r="G392" s="1662" t="s">
        <v>91</v>
      </c>
      <c r="H392" s="1682">
        <v>1</v>
      </c>
      <c r="I392" s="529"/>
      <c r="J392" s="269"/>
      <c r="K392" s="1858"/>
      <c r="L392" s="1858"/>
      <c r="M392" s="1858"/>
      <c r="N392" s="1200">
        <v>1</v>
      </c>
      <c r="O392" s="1858"/>
      <c r="P392" s="1858"/>
      <c r="Q392" s="1858"/>
      <c r="R392" s="1858"/>
      <c r="S392" s="1858"/>
      <c r="T392" s="1858"/>
      <c r="U392" s="1682">
        <v>1</v>
      </c>
    </row>
    <row r="393" spans="1:27" s="760" customFormat="1" ht="21" hidden="1" x14ac:dyDescent="0.3">
      <c r="A393" s="842"/>
      <c r="B393" s="1242" t="s">
        <v>499</v>
      </c>
      <c r="C393" s="1207"/>
      <c r="D393" s="408" t="s">
        <v>453</v>
      </c>
      <c r="E393" s="408" t="s">
        <v>456</v>
      </c>
      <c r="F393" s="408" t="s">
        <v>273</v>
      </c>
      <c r="G393" s="1661"/>
      <c r="H393" s="1683">
        <f>H394</f>
        <v>0</v>
      </c>
      <c r="I393" s="841"/>
      <c r="J393" s="276"/>
      <c r="K393" s="1858"/>
      <c r="L393" s="1860"/>
      <c r="M393" s="1860"/>
      <c r="N393" s="1208">
        <f>N394</f>
        <v>0</v>
      </c>
      <c r="O393" s="1860"/>
      <c r="P393" s="1860"/>
      <c r="Q393" s="1860"/>
      <c r="R393" s="1860"/>
      <c r="S393" s="1860"/>
      <c r="T393" s="1860"/>
      <c r="U393" s="1683">
        <f>U394</f>
        <v>0</v>
      </c>
    </row>
    <row r="394" spans="1:27" hidden="1" x14ac:dyDescent="0.25">
      <c r="A394" s="1179"/>
      <c r="B394" s="753" t="s">
        <v>109</v>
      </c>
      <c r="C394" s="1180"/>
      <c r="D394" s="409" t="s">
        <v>453</v>
      </c>
      <c r="E394" s="409" t="s">
        <v>456</v>
      </c>
      <c r="F394" s="409" t="s">
        <v>260</v>
      </c>
      <c r="G394" s="1662"/>
      <c r="H394" s="1682">
        <f>H395</f>
        <v>0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0</v>
      </c>
      <c r="O394" s="1858"/>
      <c r="P394" s="1858"/>
      <c r="Q394" s="1858"/>
      <c r="R394" s="1858"/>
      <c r="S394" s="1858"/>
      <c r="T394" s="1858"/>
      <c r="U394" s="1682">
        <f>U395</f>
        <v>0</v>
      </c>
    </row>
    <row r="395" spans="1:27" hidden="1" x14ac:dyDescent="0.25">
      <c r="A395" s="1179"/>
      <c r="B395" s="1205" t="s">
        <v>109</v>
      </c>
      <c r="C395" s="1180"/>
      <c r="D395" s="409" t="s">
        <v>453</v>
      </c>
      <c r="E395" s="409" t="s">
        <v>456</v>
      </c>
      <c r="F395" s="409" t="s">
        <v>258</v>
      </c>
      <c r="G395" s="1662"/>
      <c r="H395" s="1682"/>
      <c r="I395" s="529"/>
      <c r="J395" s="269"/>
      <c r="K395" s="1858"/>
      <c r="L395" s="1858"/>
      <c r="M395" s="1858"/>
      <c r="N395" s="1200"/>
      <c r="O395" s="1858"/>
      <c r="P395" s="1858"/>
      <c r="Q395" s="1858"/>
      <c r="R395" s="1858"/>
      <c r="S395" s="1858"/>
      <c r="T395" s="1858"/>
      <c r="U395" s="1682"/>
    </row>
    <row r="396" spans="1:27" hidden="1" x14ac:dyDescent="0.25">
      <c r="A396" s="1179"/>
      <c r="B396" s="1205" t="s">
        <v>830</v>
      </c>
      <c r="C396" s="1180"/>
      <c r="D396" s="409" t="s">
        <v>453</v>
      </c>
      <c r="E396" s="409" t="s">
        <v>456</v>
      </c>
      <c r="F396" s="409" t="s">
        <v>831</v>
      </c>
      <c r="G396" s="1662"/>
      <c r="H396" s="1682">
        <f>H397</f>
        <v>0</v>
      </c>
      <c r="I396" s="529">
        <f>I397+I403</f>
        <v>0</v>
      </c>
      <c r="J396" s="269">
        <f>J397+J403</f>
        <v>0</v>
      </c>
      <c r="K396" s="1858"/>
      <c r="L396" s="1858"/>
      <c r="M396" s="1858"/>
      <c r="N396" s="1200">
        <f>N397</f>
        <v>0</v>
      </c>
      <c r="O396" s="1858"/>
      <c r="P396" s="1858"/>
      <c r="Q396" s="1858"/>
      <c r="R396" s="1858"/>
      <c r="S396" s="1858"/>
      <c r="T396" s="1858"/>
      <c r="U396" s="1682">
        <f>U397</f>
        <v>0</v>
      </c>
    </row>
    <row r="397" spans="1:27" hidden="1" x14ac:dyDescent="0.25">
      <c r="A397" s="1179"/>
      <c r="B397" s="1197" t="s">
        <v>841</v>
      </c>
      <c r="C397" s="1180"/>
      <c r="D397" s="409" t="s">
        <v>453</v>
      </c>
      <c r="E397" s="409" t="s">
        <v>456</v>
      </c>
      <c r="F397" s="409" t="s">
        <v>831</v>
      </c>
      <c r="G397" s="1662" t="s">
        <v>255</v>
      </c>
      <c r="H397" s="1682"/>
      <c r="I397" s="529">
        <f>I401</f>
        <v>0</v>
      </c>
      <c r="J397" s="269">
        <f>J401</f>
        <v>0</v>
      </c>
      <c r="K397" s="1858">
        <v>976.8</v>
      </c>
      <c r="L397" s="1858"/>
      <c r="M397" s="1858"/>
      <c r="N397" s="1200"/>
      <c r="O397" s="1858"/>
      <c r="P397" s="1858"/>
      <c r="Q397" s="1858"/>
      <c r="R397" s="1858"/>
      <c r="S397" s="1858"/>
      <c r="T397" s="1858"/>
      <c r="U397" s="1682"/>
    </row>
    <row r="398" spans="1:27" x14ac:dyDescent="0.25">
      <c r="A398" s="1179"/>
      <c r="B398" s="1205" t="s">
        <v>830</v>
      </c>
      <c r="C398" s="1180"/>
      <c r="D398" s="409" t="s">
        <v>453</v>
      </c>
      <c r="E398" s="409" t="s">
        <v>456</v>
      </c>
      <c r="F398" s="409" t="s">
        <v>970</v>
      </c>
      <c r="G398" s="1662"/>
      <c r="H398" s="1682">
        <f>H400</f>
        <v>3223</v>
      </c>
      <c r="I398" s="529"/>
      <c r="J398" s="269"/>
      <c r="K398" s="1858"/>
      <c r="L398" s="1858"/>
      <c r="M398" s="1858"/>
      <c r="N398" s="1200">
        <f>N400</f>
        <v>0</v>
      </c>
      <c r="O398" s="1858"/>
      <c r="P398" s="1858"/>
      <c r="Q398" s="1858"/>
      <c r="R398" s="1858"/>
      <c r="S398" s="1858"/>
      <c r="T398" s="1858"/>
      <c r="U398" s="1682">
        <f>U400</f>
        <v>0</v>
      </c>
      <c r="V398" s="1861">
        <v>2666.2</v>
      </c>
      <c r="W398" s="1861">
        <v>2666.2</v>
      </c>
      <c r="X398" s="1861">
        <v>2666.2</v>
      </c>
      <c r="Y398" s="2342" t="s">
        <v>444</v>
      </c>
    </row>
    <row r="399" spans="1:27" ht="52" x14ac:dyDescent="0.25">
      <c r="A399" s="1179"/>
      <c r="B399" s="49" t="s">
        <v>1063</v>
      </c>
      <c r="C399" s="1180"/>
      <c r="D399" s="409" t="s">
        <v>453</v>
      </c>
      <c r="E399" s="409" t="s">
        <v>456</v>
      </c>
      <c r="F399" s="409" t="s">
        <v>970</v>
      </c>
      <c r="G399" s="1662" t="s">
        <v>1062</v>
      </c>
      <c r="H399" s="1682">
        <f t="shared" ref="H399:U399" si="90">H400</f>
        <v>3223</v>
      </c>
      <c r="I399" s="529">
        <f t="shared" si="90"/>
        <v>0</v>
      </c>
      <c r="J399" s="269">
        <f t="shared" si="90"/>
        <v>0</v>
      </c>
      <c r="K399" s="1858">
        <f t="shared" si="90"/>
        <v>0</v>
      </c>
      <c r="L399" s="1858">
        <f t="shared" si="90"/>
        <v>0</v>
      </c>
      <c r="M399" s="1858">
        <f t="shared" si="90"/>
        <v>0</v>
      </c>
      <c r="N399" s="1530">
        <f t="shared" si="90"/>
        <v>0</v>
      </c>
      <c r="O399" s="1858">
        <f t="shared" si="90"/>
        <v>0</v>
      </c>
      <c r="P399" s="1858">
        <f t="shared" si="90"/>
        <v>0</v>
      </c>
      <c r="Q399" s="1858">
        <f t="shared" si="90"/>
        <v>0</v>
      </c>
      <c r="R399" s="1858">
        <f t="shared" si="90"/>
        <v>0</v>
      </c>
      <c r="S399" s="1858">
        <f t="shared" si="90"/>
        <v>0</v>
      </c>
      <c r="T399" s="1858">
        <f t="shared" si="90"/>
        <v>0</v>
      </c>
      <c r="U399" s="1682">
        <f t="shared" si="90"/>
        <v>0</v>
      </c>
      <c r="V399" s="1861"/>
      <c r="W399" s="1861"/>
      <c r="X399" s="1861"/>
      <c r="Y399" s="2342"/>
    </row>
    <row r="400" spans="1:27" x14ac:dyDescent="0.25">
      <c r="A400" s="1179"/>
      <c r="B400" s="1197" t="s">
        <v>841</v>
      </c>
      <c r="C400" s="1180"/>
      <c r="D400" s="409" t="s">
        <v>453</v>
      </c>
      <c r="E400" s="409" t="s">
        <v>456</v>
      </c>
      <c r="F400" s="409" t="s">
        <v>970</v>
      </c>
      <c r="G400" s="1662" t="s">
        <v>255</v>
      </c>
      <c r="H400" s="1682">
        <f>2666.2+278.4+278.4</f>
        <v>3223</v>
      </c>
      <c r="I400" s="529"/>
      <c r="J400" s="269"/>
      <c r="K400" s="1858"/>
      <c r="L400" s="1858"/>
      <c r="M400" s="1858"/>
      <c r="N400" s="1682">
        <f>2666.2-2666.2</f>
        <v>0</v>
      </c>
      <c r="O400" s="1858"/>
      <c r="P400" s="1858"/>
      <c r="Q400" s="1858"/>
      <c r="R400" s="1858"/>
      <c r="S400" s="1858"/>
      <c r="T400" s="1858"/>
      <c r="U400" s="1682">
        <v>0</v>
      </c>
      <c r="V400" s="1861">
        <v>2666.2</v>
      </c>
      <c r="W400" s="1861">
        <v>2666.2</v>
      </c>
      <c r="X400" s="1861">
        <v>2666.2</v>
      </c>
      <c r="Z400" s="1">
        <f>278.4*2</f>
        <v>556.79999999999995</v>
      </c>
      <c r="AA400" s="1">
        <v>-2666.2</v>
      </c>
    </row>
    <row r="401" spans="1:21" s="760" customFormat="1" ht="13" x14ac:dyDescent="0.3">
      <c r="A401" s="842"/>
      <c r="B401" s="1252" t="s">
        <v>244</v>
      </c>
      <c r="C401" s="1177"/>
      <c r="D401" s="408" t="s">
        <v>453</v>
      </c>
      <c r="E401" s="408" t="s">
        <v>452</v>
      </c>
      <c r="F401" s="408"/>
      <c r="G401" s="1661"/>
      <c r="H401" s="1683">
        <f>H402</f>
        <v>4860</v>
      </c>
      <c r="I401" s="841">
        <f>I402</f>
        <v>0</v>
      </c>
      <c r="J401" s="276">
        <f>J402</f>
        <v>0</v>
      </c>
      <c r="K401" s="1860"/>
      <c r="L401" s="1860"/>
      <c r="M401" s="1860"/>
      <c r="N401" s="1208">
        <f>N402</f>
        <v>7314.32</v>
      </c>
      <c r="O401" s="1860"/>
      <c r="P401" s="1860"/>
      <c r="Q401" s="1860"/>
      <c r="R401" s="1860"/>
      <c r="S401" s="1860"/>
      <c r="T401" s="1860"/>
      <c r="U401" s="1683">
        <f>U402</f>
        <v>7606.89</v>
      </c>
    </row>
    <row r="402" spans="1:21" ht="21" x14ac:dyDescent="0.25">
      <c r="A402" s="1179"/>
      <c r="B402" s="1242" t="s">
        <v>933</v>
      </c>
      <c r="C402" s="1183"/>
      <c r="D402" s="409" t="s">
        <v>453</v>
      </c>
      <c r="E402" s="409" t="s">
        <v>452</v>
      </c>
      <c r="F402" s="409" t="s">
        <v>273</v>
      </c>
      <c r="G402" s="1662"/>
      <c r="H402" s="1682">
        <f>H403</f>
        <v>4860</v>
      </c>
      <c r="I402" s="529"/>
      <c r="J402" s="269"/>
      <c r="K402" s="1858"/>
      <c r="L402" s="1858"/>
      <c r="M402" s="1858"/>
      <c r="N402" s="1200">
        <f>N403</f>
        <v>7314.32</v>
      </c>
      <c r="O402" s="1858"/>
      <c r="P402" s="1858"/>
      <c r="Q402" s="1858"/>
      <c r="R402" s="1858"/>
      <c r="S402" s="1858"/>
      <c r="T402" s="1858"/>
      <c r="U402" s="1682">
        <f>U403</f>
        <v>7606.89</v>
      </c>
    </row>
    <row r="403" spans="1:21" x14ac:dyDescent="0.25">
      <c r="A403" s="1179"/>
      <c r="B403" s="753" t="s">
        <v>836</v>
      </c>
      <c r="C403" s="1183"/>
      <c r="D403" s="409" t="s">
        <v>453</v>
      </c>
      <c r="E403" s="409" t="s">
        <v>452</v>
      </c>
      <c r="F403" s="409" t="s">
        <v>251</v>
      </c>
      <c r="G403" s="1662"/>
      <c r="H403" s="1682">
        <f>H404</f>
        <v>4860</v>
      </c>
      <c r="I403" s="529">
        <f>I404+I407</f>
        <v>0</v>
      </c>
      <c r="J403" s="269">
        <f>J404+J407</f>
        <v>0</v>
      </c>
      <c r="K403" s="1858"/>
      <c r="L403" s="1858"/>
      <c r="M403" s="1858"/>
      <c r="N403" s="1200">
        <f>N404</f>
        <v>7314.32</v>
      </c>
      <c r="O403" s="1858"/>
      <c r="P403" s="1858"/>
      <c r="Q403" s="1858"/>
      <c r="R403" s="1858"/>
      <c r="S403" s="1858"/>
      <c r="T403" s="1858"/>
      <c r="U403" s="1682">
        <f>U404</f>
        <v>7606.89</v>
      </c>
    </row>
    <row r="404" spans="1:21" x14ac:dyDescent="0.25">
      <c r="A404" s="1179"/>
      <c r="B404" s="753" t="s">
        <v>250</v>
      </c>
      <c r="C404" s="1180"/>
      <c r="D404" s="409" t="s">
        <v>453</v>
      </c>
      <c r="E404" s="409" t="s">
        <v>452</v>
      </c>
      <c r="F404" s="409" t="s">
        <v>249</v>
      </c>
      <c r="G404" s="1662"/>
      <c r="H404" s="1682">
        <f>H405</f>
        <v>4860</v>
      </c>
      <c r="I404" s="529">
        <f>I405</f>
        <v>0</v>
      </c>
      <c r="J404" s="269">
        <f>J405</f>
        <v>0</v>
      </c>
      <c r="K404" s="1858"/>
      <c r="L404" s="1858"/>
      <c r="M404" s="1858"/>
      <c r="N404" s="1200">
        <f>N405</f>
        <v>7314.32</v>
      </c>
      <c r="O404" s="1858"/>
      <c r="P404" s="1858"/>
      <c r="Q404" s="1858"/>
      <c r="R404" s="1858"/>
      <c r="S404" s="1858"/>
      <c r="T404" s="1858"/>
      <c r="U404" s="1682">
        <f>U405</f>
        <v>7606.89</v>
      </c>
    </row>
    <row r="405" spans="1:21" x14ac:dyDescent="0.25">
      <c r="A405" s="1179"/>
      <c r="B405" s="1242" t="s">
        <v>248</v>
      </c>
      <c r="C405" s="1183"/>
      <c r="D405" s="409" t="s">
        <v>453</v>
      </c>
      <c r="E405" s="409" t="s">
        <v>452</v>
      </c>
      <c r="F405" s="409" t="s">
        <v>243</v>
      </c>
      <c r="G405" s="1662"/>
      <c r="H405" s="1682">
        <f>H407</f>
        <v>4860</v>
      </c>
      <c r="I405" s="529">
        <v>0</v>
      </c>
      <c r="J405" s="269">
        <v>0</v>
      </c>
      <c r="K405" s="1858"/>
      <c r="L405" s="1858"/>
      <c r="M405" s="1858"/>
      <c r="N405" s="1200">
        <f>N407</f>
        <v>7314.32</v>
      </c>
      <c r="O405" s="1858"/>
      <c r="P405" s="1858"/>
      <c r="Q405" s="1858"/>
      <c r="R405" s="1858"/>
      <c r="S405" s="1858"/>
      <c r="T405" s="1858"/>
      <c r="U405" s="1682">
        <f>U407</f>
        <v>7606.89</v>
      </c>
    </row>
    <row r="406" spans="1:21" x14ac:dyDescent="0.25">
      <c r="A406" s="1179"/>
      <c r="B406" s="753" t="s">
        <v>948</v>
      </c>
      <c r="C406" s="1183"/>
      <c r="D406" s="409" t="s">
        <v>453</v>
      </c>
      <c r="E406" s="409" t="s">
        <v>452</v>
      </c>
      <c r="F406" s="409" t="s">
        <v>243</v>
      </c>
      <c r="G406" s="1662" t="s">
        <v>955</v>
      </c>
      <c r="H406" s="1682">
        <f t="shared" ref="H406:U406" si="91">H407</f>
        <v>4860</v>
      </c>
      <c r="I406" s="529">
        <f t="shared" si="91"/>
        <v>0</v>
      </c>
      <c r="J406" s="269">
        <f t="shared" si="91"/>
        <v>0</v>
      </c>
      <c r="K406" s="1858">
        <f t="shared" si="91"/>
        <v>0</v>
      </c>
      <c r="L406" s="1858">
        <f t="shared" si="91"/>
        <v>0</v>
      </c>
      <c r="M406" s="1858">
        <f t="shared" si="91"/>
        <v>0</v>
      </c>
      <c r="N406" s="1200">
        <f t="shared" si="91"/>
        <v>7314.32</v>
      </c>
      <c r="O406" s="1858">
        <f t="shared" si="91"/>
        <v>0</v>
      </c>
      <c r="P406" s="1858">
        <f t="shared" si="91"/>
        <v>0</v>
      </c>
      <c r="Q406" s="1858">
        <f t="shared" si="91"/>
        <v>0</v>
      </c>
      <c r="R406" s="1858">
        <f t="shared" si="91"/>
        <v>0</v>
      </c>
      <c r="S406" s="1858">
        <f t="shared" si="91"/>
        <v>0</v>
      </c>
      <c r="T406" s="1858">
        <f t="shared" si="91"/>
        <v>0</v>
      </c>
      <c r="U406" s="1682">
        <f t="shared" si="91"/>
        <v>7606.89</v>
      </c>
    </row>
    <row r="407" spans="1:21" ht="21" customHeight="1" x14ac:dyDescent="0.25">
      <c r="A407" s="1179"/>
      <c r="B407" s="753" t="s">
        <v>454</v>
      </c>
      <c r="C407" s="1180"/>
      <c r="D407" s="409" t="s">
        <v>453</v>
      </c>
      <c r="E407" s="409" t="s">
        <v>452</v>
      </c>
      <c r="F407" s="409" t="s">
        <v>243</v>
      </c>
      <c r="G407" s="1662" t="s">
        <v>1</v>
      </c>
      <c r="H407" s="1682">
        <f>7033-2173</f>
        <v>4860</v>
      </c>
      <c r="I407" s="529"/>
      <c r="J407" s="269"/>
      <c r="K407" s="1858"/>
      <c r="L407" s="1858"/>
      <c r="M407" s="1858"/>
      <c r="N407" s="1200">
        <v>7314.32</v>
      </c>
      <c r="O407" s="1858"/>
      <c r="P407" s="1858"/>
      <c r="Q407" s="1858"/>
      <c r="R407" s="1858"/>
      <c r="S407" s="1858"/>
      <c r="T407" s="1858"/>
      <c r="U407" s="1682">
        <v>7606.89</v>
      </c>
    </row>
    <row r="408" spans="1:21" ht="21" hidden="1" x14ac:dyDescent="0.25">
      <c r="A408" s="1179"/>
      <c r="B408" s="1182" t="s">
        <v>454</v>
      </c>
      <c r="C408" s="1183"/>
      <c r="D408" s="409" t="s">
        <v>453</v>
      </c>
      <c r="E408" s="409" t="s">
        <v>452</v>
      </c>
      <c r="F408" s="409" t="s">
        <v>500</v>
      </c>
      <c r="G408" s="1662" t="s">
        <v>26</v>
      </c>
      <c r="H408" s="1682"/>
      <c r="I408" s="529"/>
      <c r="J408" s="269"/>
      <c r="K408" s="1858"/>
      <c r="L408" s="1858"/>
      <c r="M408" s="1858"/>
      <c r="N408" s="1200"/>
      <c r="O408" s="1858"/>
      <c r="P408" s="1858"/>
      <c r="Q408" s="1858"/>
      <c r="R408" s="1858"/>
      <c r="S408" s="1858"/>
      <c r="T408" s="1858"/>
      <c r="U408" s="1682"/>
    </row>
    <row r="409" spans="1:21" x14ac:dyDescent="0.25">
      <c r="A409" s="1179"/>
      <c r="B409" s="1184" t="s">
        <v>334</v>
      </c>
      <c r="C409" s="1177"/>
      <c r="D409" s="408" t="s">
        <v>496</v>
      </c>
      <c r="E409" s="408" t="s">
        <v>459</v>
      </c>
      <c r="F409" s="408"/>
      <c r="G409" s="1661"/>
      <c r="H409" s="1683">
        <f>H410+H417</f>
        <v>681.78300000000002</v>
      </c>
      <c r="I409" s="841">
        <f>I410+I417</f>
        <v>585.81999999999994</v>
      </c>
      <c r="J409" s="277">
        <f>J410+J417</f>
        <v>610.88699999999994</v>
      </c>
      <c r="K409" s="1858"/>
      <c r="L409" s="1858"/>
      <c r="M409" s="1858"/>
      <c r="N409" s="1208">
        <f>N410+N417</f>
        <v>709.05399999999997</v>
      </c>
      <c r="O409" s="1858"/>
      <c r="P409" s="1858"/>
      <c r="Q409" s="1858"/>
      <c r="R409" s="1858"/>
      <c r="S409" s="1858"/>
      <c r="T409" s="1858"/>
      <c r="U409" s="1683">
        <f>U410+U417</f>
        <v>737.41600000000005</v>
      </c>
    </row>
    <row r="410" spans="1:21" x14ac:dyDescent="0.25">
      <c r="A410" s="1179"/>
      <c r="B410" s="1184" t="s">
        <v>79</v>
      </c>
      <c r="C410" s="1177"/>
      <c r="D410" s="408" t="s">
        <v>496</v>
      </c>
      <c r="E410" s="408" t="s">
        <v>456</v>
      </c>
      <c r="F410" s="408"/>
      <c r="G410" s="1661"/>
      <c r="H410" s="1683">
        <f t="shared" ref="H410:J413" si="92">H411</f>
        <v>681.78300000000002</v>
      </c>
      <c r="I410" s="841">
        <f t="shared" si="92"/>
        <v>0</v>
      </c>
      <c r="J410" s="277">
        <f t="shared" si="92"/>
        <v>0</v>
      </c>
      <c r="K410" s="1862">
        <v>615.01599999999996</v>
      </c>
      <c r="L410" s="1858"/>
      <c r="M410" s="1858"/>
      <c r="N410" s="1208">
        <f t="shared" ref="N410:N413" si="93">N411</f>
        <v>709.05399999999997</v>
      </c>
      <c r="O410" s="1858"/>
      <c r="P410" s="1858"/>
      <c r="Q410" s="1858"/>
      <c r="R410" s="1858"/>
      <c r="S410" s="1858"/>
      <c r="T410" s="1858"/>
      <c r="U410" s="1683">
        <f t="shared" ref="U410:U413" si="94">U411</f>
        <v>737.41600000000005</v>
      </c>
    </row>
    <row r="411" spans="1:21" ht="21" x14ac:dyDescent="0.25">
      <c r="A411" s="1179"/>
      <c r="B411" s="753" t="s">
        <v>499</v>
      </c>
      <c r="C411" s="1177"/>
      <c r="D411" s="409" t="s">
        <v>496</v>
      </c>
      <c r="E411" s="409" t="s">
        <v>456</v>
      </c>
      <c r="F411" s="409" t="s">
        <v>89</v>
      </c>
      <c r="G411" s="1661"/>
      <c r="H411" s="1683">
        <f t="shared" si="92"/>
        <v>681.78300000000002</v>
      </c>
      <c r="I411" s="841">
        <f t="shared" si="92"/>
        <v>0</v>
      </c>
      <c r="J411" s="277">
        <f t="shared" si="92"/>
        <v>0</v>
      </c>
      <c r="K411" s="1858"/>
      <c r="L411" s="1858"/>
      <c r="M411" s="1858"/>
      <c r="N411" s="1208">
        <f t="shared" si="93"/>
        <v>709.05399999999997</v>
      </c>
      <c r="O411" s="1858"/>
      <c r="P411" s="1858"/>
      <c r="Q411" s="1858"/>
      <c r="R411" s="1858"/>
      <c r="S411" s="1858"/>
      <c r="T411" s="1858"/>
      <c r="U411" s="1683">
        <f t="shared" si="94"/>
        <v>737.41600000000005</v>
      </c>
    </row>
    <row r="412" spans="1:21" x14ac:dyDescent="0.25">
      <c r="A412" s="1179"/>
      <c r="B412" s="753" t="s">
        <v>109</v>
      </c>
      <c r="C412" s="1180"/>
      <c r="D412" s="409" t="s">
        <v>496</v>
      </c>
      <c r="E412" s="409" t="s">
        <v>456</v>
      </c>
      <c r="F412" s="409" t="s">
        <v>84</v>
      </c>
      <c r="G412" s="1662"/>
      <c r="H412" s="1682">
        <f t="shared" si="92"/>
        <v>681.78300000000002</v>
      </c>
      <c r="I412" s="529">
        <f t="shared" si="92"/>
        <v>0</v>
      </c>
      <c r="J412" s="270">
        <f t="shared" si="92"/>
        <v>0</v>
      </c>
      <c r="K412" s="1858"/>
      <c r="L412" s="1858"/>
      <c r="M412" s="1858"/>
      <c r="N412" s="1200">
        <f t="shared" si="93"/>
        <v>709.05399999999997</v>
      </c>
      <c r="O412" s="1858"/>
      <c r="P412" s="1858"/>
      <c r="Q412" s="1858"/>
      <c r="R412" s="1858"/>
      <c r="S412" s="1858"/>
      <c r="T412" s="1858"/>
      <c r="U412" s="1682">
        <f t="shared" si="94"/>
        <v>737.41600000000005</v>
      </c>
    </row>
    <row r="413" spans="1:21" x14ac:dyDescent="0.25">
      <c r="A413" s="1179"/>
      <c r="B413" s="753" t="s">
        <v>109</v>
      </c>
      <c r="C413" s="1180"/>
      <c r="D413" s="409" t="s">
        <v>496</v>
      </c>
      <c r="E413" s="409" t="s">
        <v>456</v>
      </c>
      <c r="F413" s="409" t="s">
        <v>82</v>
      </c>
      <c r="G413" s="1662"/>
      <c r="H413" s="1682">
        <f t="shared" si="92"/>
        <v>681.78300000000002</v>
      </c>
      <c r="I413" s="529">
        <f t="shared" si="92"/>
        <v>0</v>
      </c>
      <c r="J413" s="270">
        <f t="shared" si="92"/>
        <v>0</v>
      </c>
      <c r="K413" s="1858"/>
      <c r="L413" s="1858"/>
      <c r="M413" s="1858"/>
      <c r="N413" s="1200">
        <f t="shared" si="93"/>
        <v>709.05399999999997</v>
      </c>
      <c r="O413" s="1858"/>
      <c r="P413" s="1858"/>
      <c r="Q413" s="1858"/>
      <c r="R413" s="1858"/>
      <c r="S413" s="1858"/>
      <c r="T413" s="1858"/>
      <c r="U413" s="1682">
        <f t="shared" si="94"/>
        <v>737.41600000000005</v>
      </c>
    </row>
    <row r="414" spans="1:21" x14ac:dyDescent="0.25">
      <c r="A414" s="1179"/>
      <c r="B414" s="753" t="s">
        <v>81</v>
      </c>
      <c r="C414" s="1180"/>
      <c r="D414" s="409" t="s">
        <v>496</v>
      </c>
      <c r="E414" s="409" t="s">
        <v>456</v>
      </c>
      <c r="F414" s="409" t="s">
        <v>78</v>
      </c>
      <c r="G414" s="1662"/>
      <c r="H414" s="1682">
        <f>H416</f>
        <v>681.78300000000002</v>
      </c>
      <c r="I414" s="529">
        <f>I416</f>
        <v>0</v>
      </c>
      <c r="J414" s="270">
        <f>J416</f>
        <v>0</v>
      </c>
      <c r="K414" s="1858"/>
      <c r="L414" s="1858"/>
      <c r="M414" s="1858"/>
      <c r="N414" s="1200">
        <f>N416</f>
        <v>709.05399999999997</v>
      </c>
      <c r="O414" s="1858"/>
      <c r="P414" s="1858"/>
      <c r="Q414" s="1858"/>
      <c r="R414" s="1858"/>
      <c r="S414" s="1858"/>
      <c r="T414" s="1858"/>
      <c r="U414" s="1682">
        <f>U416</f>
        <v>737.41600000000005</v>
      </c>
    </row>
    <row r="415" spans="1:21" x14ac:dyDescent="0.25">
      <c r="A415" s="1179"/>
      <c r="B415" s="753" t="s">
        <v>852</v>
      </c>
      <c r="C415" s="1180"/>
      <c r="D415" s="409" t="s">
        <v>496</v>
      </c>
      <c r="E415" s="409" t="s">
        <v>456</v>
      </c>
      <c r="F415" s="409" t="s">
        <v>78</v>
      </c>
      <c r="G415" s="1662" t="s">
        <v>860</v>
      </c>
      <c r="H415" s="1682">
        <f t="shared" ref="H415:U415" si="95">H416</f>
        <v>681.78300000000002</v>
      </c>
      <c r="I415" s="529">
        <f t="shared" si="95"/>
        <v>0</v>
      </c>
      <c r="J415" s="404">
        <f t="shared" si="95"/>
        <v>0</v>
      </c>
      <c r="K415" s="1858">
        <f t="shared" si="95"/>
        <v>0</v>
      </c>
      <c r="L415" s="1858">
        <f t="shared" si="95"/>
        <v>0</v>
      </c>
      <c r="M415" s="1858">
        <f t="shared" si="95"/>
        <v>0</v>
      </c>
      <c r="N415" s="1200">
        <f t="shared" si="95"/>
        <v>709.05399999999997</v>
      </c>
      <c r="O415" s="1858">
        <f t="shared" si="95"/>
        <v>0</v>
      </c>
      <c r="P415" s="1858">
        <f t="shared" si="95"/>
        <v>0</v>
      </c>
      <c r="Q415" s="1858">
        <f t="shared" si="95"/>
        <v>0</v>
      </c>
      <c r="R415" s="1858">
        <f t="shared" si="95"/>
        <v>0</v>
      </c>
      <c r="S415" s="1858">
        <f t="shared" si="95"/>
        <v>0</v>
      </c>
      <c r="T415" s="1858">
        <f t="shared" si="95"/>
        <v>0</v>
      </c>
      <c r="U415" s="1682">
        <f t="shared" si="95"/>
        <v>737.41600000000005</v>
      </c>
    </row>
    <row r="416" spans="1:21" x14ac:dyDescent="0.25">
      <c r="A416" s="1179"/>
      <c r="B416" s="1236" t="s">
        <v>497</v>
      </c>
      <c r="C416" s="1183"/>
      <c r="D416" s="409" t="s">
        <v>496</v>
      </c>
      <c r="E416" s="409" t="s">
        <v>456</v>
      </c>
      <c r="F416" s="409" t="s">
        <v>78</v>
      </c>
      <c r="G416" s="1662" t="s">
        <v>77</v>
      </c>
      <c r="H416" s="1682">
        <v>681.78300000000002</v>
      </c>
      <c r="I416" s="529"/>
      <c r="J416" s="269"/>
      <c r="K416" s="1858"/>
      <c r="L416" s="1858"/>
      <c r="M416" s="1858"/>
      <c r="N416" s="1200">
        <v>709.05399999999997</v>
      </c>
      <c r="O416" s="1858"/>
      <c r="P416" s="1858"/>
      <c r="Q416" s="1858"/>
      <c r="R416" s="1858"/>
      <c r="S416" s="1858"/>
      <c r="T416" s="1858"/>
      <c r="U416" s="1682">
        <v>737.41600000000005</v>
      </c>
    </row>
    <row r="417" spans="1:21" hidden="1" x14ac:dyDescent="0.25">
      <c r="A417" s="1179"/>
      <c r="B417" s="1184" t="s">
        <v>45</v>
      </c>
      <c r="C417" s="1177"/>
      <c r="D417" s="408" t="s">
        <v>496</v>
      </c>
      <c r="E417" s="408" t="s">
        <v>495</v>
      </c>
      <c r="F417" s="408"/>
      <c r="G417" s="1661"/>
      <c r="H417" s="1683">
        <f t="shared" ref="H417:J420" si="96">H418</f>
        <v>0</v>
      </c>
      <c r="I417" s="841">
        <f t="shared" si="96"/>
        <v>585.81999999999994</v>
      </c>
      <c r="J417" s="277">
        <f t="shared" si="96"/>
        <v>610.88699999999994</v>
      </c>
      <c r="K417" s="1858"/>
      <c r="L417" s="1858"/>
      <c r="M417" s="1858"/>
      <c r="N417" s="1208">
        <f t="shared" ref="N417:N420" si="97">N418</f>
        <v>0</v>
      </c>
      <c r="O417" s="1858"/>
      <c r="P417" s="1858"/>
      <c r="Q417" s="1858"/>
      <c r="R417" s="1858"/>
      <c r="S417" s="1858"/>
      <c r="T417" s="1858"/>
      <c r="U417" s="1683">
        <f t="shared" ref="U417:U420" si="98">U418</f>
        <v>0</v>
      </c>
    </row>
    <row r="418" spans="1:21" ht="31.5" hidden="1" x14ac:dyDescent="0.25">
      <c r="A418" s="1179"/>
      <c r="B418" s="1203" t="s">
        <v>861</v>
      </c>
      <c r="C418" s="1177"/>
      <c r="D418" s="408" t="s">
        <v>496</v>
      </c>
      <c r="E418" s="408" t="s">
        <v>495</v>
      </c>
      <c r="F418" s="408" t="s">
        <v>468</v>
      </c>
      <c r="G418" s="1661"/>
      <c r="H418" s="1683">
        <f>H419+H423</f>
        <v>0</v>
      </c>
      <c r="I418" s="841">
        <f t="shared" si="96"/>
        <v>585.81999999999994</v>
      </c>
      <c r="J418" s="277">
        <f t="shared" si="96"/>
        <v>610.88699999999994</v>
      </c>
      <c r="K418" s="1858"/>
      <c r="L418" s="1858"/>
      <c r="M418" s="1858"/>
      <c r="N418" s="1208">
        <f>N419+N423</f>
        <v>0</v>
      </c>
      <c r="O418" s="1858"/>
      <c r="P418" s="1858"/>
      <c r="Q418" s="1858"/>
      <c r="R418" s="1858"/>
      <c r="S418" s="1858"/>
      <c r="T418" s="1858"/>
      <c r="U418" s="1683">
        <f>U419+U423</f>
        <v>0</v>
      </c>
    </row>
    <row r="419" spans="1:21" hidden="1" x14ac:dyDescent="0.25">
      <c r="A419" s="1179"/>
      <c r="B419" s="1203" t="s">
        <v>849</v>
      </c>
      <c r="C419" s="1180"/>
      <c r="D419" s="409" t="s">
        <v>496</v>
      </c>
      <c r="E419" s="409" t="s">
        <v>495</v>
      </c>
      <c r="F419" s="409" t="s">
        <v>854</v>
      </c>
      <c r="G419" s="1662"/>
      <c r="H419" s="1682">
        <f t="shared" si="96"/>
        <v>0</v>
      </c>
      <c r="I419" s="529">
        <f t="shared" si="96"/>
        <v>585.81999999999994</v>
      </c>
      <c r="J419" s="270">
        <f t="shared" si="96"/>
        <v>610.88699999999994</v>
      </c>
      <c r="K419" s="1858"/>
      <c r="L419" s="1858"/>
      <c r="M419" s="1858"/>
      <c r="N419" s="1200">
        <f t="shared" si="97"/>
        <v>0</v>
      </c>
      <c r="O419" s="1858"/>
      <c r="P419" s="1858"/>
      <c r="Q419" s="1858"/>
      <c r="R419" s="1858"/>
      <c r="S419" s="1858"/>
      <c r="T419" s="1858"/>
      <c r="U419" s="1682">
        <f t="shared" si="98"/>
        <v>0</v>
      </c>
    </row>
    <row r="420" spans="1:21" hidden="1" x14ac:dyDescent="0.25">
      <c r="A420" s="1179"/>
      <c r="B420" s="1203" t="s">
        <v>850</v>
      </c>
      <c r="C420" s="1180"/>
      <c r="D420" s="409" t="s">
        <v>496</v>
      </c>
      <c r="E420" s="409" t="s">
        <v>495</v>
      </c>
      <c r="F420" s="409" t="s">
        <v>855</v>
      </c>
      <c r="G420" s="1662"/>
      <c r="H420" s="1682">
        <f t="shared" si="96"/>
        <v>0</v>
      </c>
      <c r="I420" s="529">
        <f t="shared" si="96"/>
        <v>585.81999999999994</v>
      </c>
      <c r="J420" s="270">
        <f t="shared" si="96"/>
        <v>610.88699999999994</v>
      </c>
      <c r="K420" s="1858"/>
      <c r="L420" s="1858"/>
      <c r="M420" s="1858"/>
      <c r="N420" s="1200">
        <f t="shared" si="97"/>
        <v>0</v>
      </c>
      <c r="O420" s="1858"/>
      <c r="P420" s="1858"/>
      <c r="Q420" s="1858"/>
      <c r="R420" s="1858"/>
      <c r="S420" s="1858"/>
      <c r="T420" s="1858"/>
      <c r="U420" s="1682">
        <f t="shared" si="98"/>
        <v>0</v>
      </c>
    </row>
    <row r="421" spans="1:21" ht="35.25" hidden="1" customHeight="1" x14ac:dyDescent="0.25">
      <c r="A421" s="1179"/>
      <c r="B421" s="1232" t="s">
        <v>851</v>
      </c>
      <c r="C421" s="1180"/>
      <c r="D421" s="409" t="s">
        <v>496</v>
      </c>
      <c r="E421" s="409" t="s">
        <v>495</v>
      </c>
      <c r="F421" s="1864" t="s">
        <v>856</v>
      </c>
      <c r="G421" s="1662"/>
      <c r="H421" s="1682">
        <f>H422</f>
        <v>0</v>
      </c>
      <c r="I421" s="529">
        <f>I422+I426+I427</f>
        <v>585.81999999999994</v>
      </c>
      <c r="J421" s="270">
        <f>J422+J426+J427</f>
        <v>610.88699999999994</v>
      </c>
      <c r="K421" s="1858"/>
      <c r="L421" s="1858"/>
      <c r="M421" s="1858"/>
      <c r="N421" s="1200">
        <f>N422</f>
        <v>0</v>
      </c>
      <c r="O421" s="1858"/>
      <c r="P421" s="1858"/>
      <c r="Q421" s="1858"/>
      <c r="R421" s="1858"/>
      <c r="S421" s="1858"/>
      <c r="T421" s="1858"/>
      <c r="U421" s="1682">
        <f>U422</f>
        <v>0</v>
      </c>
    </row>
    <row r="422" spans="1:21" hidden="1" x14ac:dyDescent="0.25">
      <c r="A422" s="1179"/>
      <c r="B422" s="1236" t="s">
        <v>497</v>
      </c>
      <c r="C422" s="1183"/>
      <c r="D422" s="409" t="s">
        <v>496</v>
      </c>
      <c r="E422" s="409" t="s">
        <v>495</v>
      </c>
      <c r="F422" s="1864" t="s">
        <v>856</v>
      </c>
      <c r="G422" s="1662" t="s">
        <v>77</v>
      </c>
      <c r="H422" s="1865"/>
      <c r="I422" s="529">
        <v>31.3</v>
      </c>
      <c r="J422" s="269">
        <v>34.43</v>
      </c>
      <c r="K422" s="1858"/>
      <c r="L422" s="1858"/>
      <c r="M422" s="1858"/>
      <c r="N422" s="1866">
        <v>0</v>
      </c>
      <c r="O422" s="1858"/>
      <c r="P422" s="1858"/>
      <c r="Q422" s="1858"/>
      <c r="R422" s="1858"/>
      <c r="S422" s="1858"/>
      <c r="T422" s="1858"/>
      <c r="U422" s="1865">
        <v>0</v>
      </c>
    </row>
    <row r="423" spans="1:21" ht="21" hidden="1" x14ac:dyDescent="0.25">
      <c r="A423" s="1179"/>
      <c r="B423" s="1203" t="s">
        <v>853</v>
      </c>
      <c r="C423" s="1183"/>
      <c r="D423" s="409" t="s">
        <v>496</v>
      </c>
      <c r="E423" s="409" t="s">
        <v>495</v>
      </c>
      <c r="F423" s="1864" t="s">
        <v>857</v>
      </c>
      <c r="G423" s="1662"/>
      <c r="H423" s="1865">
        <f>H424</f>
        <v>0</v>
      </c>
      <c r="I423" s="529"/>
      <c r="J423" s="269"/>
      <c r="K423" s="1858"/>
      <c r="L423" s="1858"/>
      <c r="M423" s="1858"/>
      <c r="N423" s="1866">
        <f>N424</f>
        <v>0</v>
      </c>
      <c r="O423" s="1858"/>
      <c r="P423" s="1858"/>
      <c r="Q423" s="1858"/>
      <c r="R423" s="1858"/>
      <c r="S423" s="1858"/>
      <c r="T423" s="1858"/>
      <c r="U423" s="1865">
        <f>U424</f>
        <v>0</v>
      </c>
    </row>
    <row r="424" spans="1:21" hidden="1" x14ac:dyDescent="0.25">
      <c r="A424" s="1179"/>
      <c r="B424" s="1203" t="s">
        <v>850</v>
      </c>
      <c r="C424" s="1183"/>
      <c r="D424" s="409" t="s">
        <v>496</v>
      </c>
      <c r="E424" s="409" t="s">
        <v>495</v>
      </c>
      <c r="F424" s="409" t="s">
        <v>858</v>
      </c>
      <c r="G424" s="1662"/>
      <c r="H424" s="1865">
        <f>H425</f>
        <v>0</v>
      </c>
      <c r="I424" s="529"/>
      <c r="J424" s="269"/>
      <c r="K424" s="1858"/>
      <c r="L424" s="1858"/>
      <c r="M424" s="1858"/>
      <c r="N424" s="1866">
        <f>N425</f>
        <v>0</v>
      </c>
      <c r="O424" s="1858"/>
      <c r="P424" s="1858"/>
      <c r="Q424" s="1858"/>
      <c r="R424" s="1858"/>
      <c r="S424" s="1858"/>
      <c r="T424" s="1858"/>
      <c r="U424" s="1865">
        <f>U425</f>
        <v>0</v>
      </c>
    </row>
    <row r="425" spans="1:21" ht="31.5" hidden="1" x14ac:dyDescent="0.25">
      <c r="A425" s="1179"/>
      <c r="B425" s="1203" t="s">
        <v>851</v>
      </c>
      <c r="C425" s="1183"/>
      <c r="D425" s="409" t="s">
        <v>496</v>
      </c>
      <c r="E425" s="409" t="s">
        <v>495</v>
      </c>
      <c r="F425" s="1864" t="s">
        <v>859</v>
      </c>
      <c r="G425" s="1662"/>
      <c r="H425" s="1865">
        <f>H426</f>
        <v>0</v>
      </c>
      <c r="I425" s="529"/>
      <c r="J425" s="269"/>
      <c r="K425" s="1858"/>
      <c r="L425" s="1858"/>
      <c r="M425" s="1858"/>
      <c r="N425" s="1866">
        <f>N426</f>
        <v>0</v>
      </c>
      <c r="O425" s="1858"/>
      <c r="P425" s="1858"/>
      <c r="Q425" s="1858"/>
      <c r="R425" s="1858"/>
      <c r="S425" s="1858"/>
      <c r="T425" s="1858"/>
      <c r="U425" s="1865">
        <f>U426</f>
        <v>0</v>
      </c>
    </row>
    <row r="426" spans="1:21" hidden="1" x14ac:dyDescent="0.25">
      <c r="A426" s="1179"/>
      <c r="B426" s="1236" t="s">
        <v>497</v>
      </c>
      <c r="C426" s="1183"/>
      <c r="D426" s="409" t="s">
        <v>496</v>
      </c>
      <c r="E426" s="409" t="s">
        <v>495</v>
      </c>
      <c r="F426" s="1864" t="s">
        <v>859</v>
      </c>
      <c r="G426" s="1662" t="s">
        <v>77</v>
      </c>
      <c r="H426" s="1865"/>
      <c r="I426" s="529">
        <v>554.52</v>
      </c>
      <c r="J426" s="269">
        <v>576.45699999999999</v>
      </c>
      <c r="K426" s="1858"/>
      <c r="L426" s="1858"/>
      <c r="M426" s="1858"/>
      <c r="N426" s="1866">
        <v>0</v>
      </c>
      <c r="O426" s="1858"/>
      <c r="P426" s="1858"/>
      <c r="Q426" s="1858"/>
      <c r="R426" s="1858"/>
      <c r="S426" s="1858"/>
      <c r="T426" s="1858"/>
      <c r="U426" s="1865">
        <v>0</v>
      </c>
    </row>
    <row r="427" spans="1:21" hidden="1" x14ac:dyDescent="0.25">
      <c r="A427" s="1179"/>
      <c r="B427" s="1182" t="s">
        <v>497</v>
      </c>
      <c r="C427" s="1183"/>
      <c r="D427" s="409" t="s">
        <v>496</v>
      </c>
      <c r="E427" s="409" t="s">
        <v>495</v>
      </c>
      <c r="F427" s="409" t="s">
        <v>43</v>
      </c>
      <c r="G427" s="1662" t="s">
        <v>77</v>
      </c>
      <c r="H427" s="1682"/>
      <c r="I427" s="529"/>
      <c r="J427" s="269"/>
      <c r="K427" s="1858"/>
      <c r="L427" s="1858"/>
      <c r="M427" s="1858"/>
      <c r="N427" s="1200"/>
      <c r="O427" s="1858"/>
      <c r="P427" s="1858"/>
      <c r="Q427" s="1858"/>
      <c r="R427" s="1858"/>
      <c r="S427" s="1858"/>
      <c r="T427" s="1858"/>
      <c r="U427" s="1682"/>
    </row>
    <row r="428" spans="1:21" x14ac:dyDescent="0.25">
      <c r="A428" s="1179"/>
      <c r="B428" s="1184" t="s">
        <v>331</v>
      </c>
      <c r="C428" s="1177"/>
      <c r="D428" s="408" t="s">
        <v>464</v>
      </c>
      <c r="E428" s="408" t="s">
        <v>459</v>
      </c>
      <c r="F428" s="408"/>
      <c r="G428" s="1661"/>
      <c r="H428" s="1683">
        <f>H429+H437</f>
        <v>1650</v>
      </c>
      <c r="I428" s="841">
        <f>I429+I437</f>
        <v>0</v>
      </c>
      <c r="J428" s="277">
        <f>J429+J437</f>
        <v>0</v>
      </c>
      <c r="K428" s="1862">
        <v>600</v>
      </c>
      <c r="L428" s="1858"/>
      <c r="M428" s="1858"/>
      <c r="N428" s="1208">
        <f>N429+N437</f>
        <v>1700</v>
      </c>
      <c r="O428" s="1858"/>
      <c r="P428" s="1858"/>
      <c r="Q428" s="1858"/>
      <c r="R428" s="1858"/>
      <c r="S428" s="1858"/>
      <c r="T428" s="1858"/>
      <c r="U428" s="1683">
        <f>U429+U437</f>
        <v>1750</v>
      </c>
    </row>
    <row r="429" spans="1:21" hidden="1" x14ac:dyDescent="0.25">
      <c r="A429" s="1179"/>
      <c r="B429" s="1184" t="s">
        <v>494</v>
      </c>
      <c r="C429" s="1177"/>
      <c r="D429" s="408" t="s">
        <v>464</v>
      </c>
      <c r="E429" s="408" t="s">
        <v>488</v>
      </c>
      <c r="F429" s="408" t="s">
        <v>106</v>
      </c>
      <c r="G429" s="1661" t="s">
        <v>106</v>
      </c>
      <c r="H429" s="1683">
        <f t="shared" ref="H429:J432" si="99">H430</f>
        <v>0</v>
      </c>
      <c r="I429" s="841">
        <f t="shared" si="99"/>
        <v>0</v>
      </c>
      <c r="J429" s="277">
        <f t="shared" si="99"/>
        <v>0</v>
      </c>
      <c r="K429" s="1858"/>
      <c r="L429" s="1858"/>
      <c r="M429" s="1858"/>
      <c r="N429" s="1208">
        <f t="shared" ref="N429:N432" si="100">N430</f>
        <v>0</v>
      </c>
      <c r="O429" s="1858"/>
      <c r="P429" s="1858"/>
      <c r="Q429" s="1858"/>
      <c r="R429" s="1858"/>
      <c r="S429" s="1858"/>
      <c r="T429" s="1858"/>
      <c r="U429" s="1683">
        <f t="shared" ref="U429:U432" si="101">U430</f>
        <v>0</v>
      </c>
    </row>
    <row r="430" spans="1:21" ht="34.5" hidden="1" x14ac:dyDescent="0.25">
      <c r="A430" s="1179"/>
      <c r="B430" s="1184" t="s">
        <v>493</v>
      </c>
      <c r="C430" s="1177"/>
      <c r="D430" s="408" t="s">
        <v>464</v>
      </c>
      <c r="E430" s="408" t="s">
        <v>488</v>
      </c>
      <c r="F430" s="408" t="s">
        <v>311</v>
      </c>
      <c r="G430" s="1661"/>
      <c r="H430" s="1683">
        <f t="shared" si="99"/>
        <v>0</v>
      </c>
      <c r="I430" s="841">
        <f t="shared" si="99"/>
        <v>0</v>
      </c>
      <c r="J430" s="277">
        <f t="shared" si="99"/>
        <v>0</v>
      </c>
      <c r="K430" s="1858"/>
      <c r="L430" s="1858"/>
      <c r="M430" s="1858"/>
      <c r="N430" s="1208">
        <f t="shared" si="100"/>
        <v>0</v>
      </c>
      <c r="O430" s="1858"/>
      <c r="P430" s="1858"/>
      <c r="Q430" s="1858"/>
      <c r="R430" s="1858"/>
      <c r="S430" s="1858"/>
      <c r="T430" s="1858"/>
      <c r="U430" s="1683">
        <f t="shared" si="101"/>
        <v>0</v>
      </c>
    </row>
    <row r="431" spans="1:21" ht="34.5" hidden="1" x14ac:dyDescent="0.25">
      <c r="A431" s="1233"/>
      <c r="B431" s="1253" t="s">
        <v>492</v>
      </c>
      <c r="C431" s="1180"/>
      <c r="D431" s="409" t="s">
        <v>464</v>
      </c>
      <c r="E431" s="409" t="s">
        <v>488</v>
      </c>
      <c r="F431" s="409" t="s">
        <v>491</v>
      </c>
      <c r="G431" s="1662"/>
      <c r="H431" s="1682">
        <f t="shared" si="99"/>
        <v>0</v>
      </c>
      <c r="I431" s="529">
        <f t="shared" si="99"/>
        <v>0</v>
      </c>
      <c r="J431" s="270">
        <f t="shared" si="99"/>
        <v>0</v>
      </c>
      <c r="K431" s="1858"/>
      <c r="L431" s="1858"/>
      <c r="M431" s="1858"/>
      <c r="N431" s="1200">
        <f t="shared" si="100"/>
        <v>0</v>
      </c>
      <c r="O431" s="1858"/>
      <c r="P431" s="1858"/>
      <c r="Q431" s="1858"/>
      <c r="R431" s="1858"/>
      <c r="S431" s="1858"/>
      <c r="T431" s="1858"/>
      <c r="U431" s="1682">
        <f t="shared" si="101"/>
        <v>0</v>
      </c>
    </row>
    <row r="432" spans="1:21" hidden="1" x14ac:dyDescent="0.25">
      <c r="A432" s="1233"/>
      <c r="B432" s="1253" t="s">
        <v>490</v>
      </c>
      <c r="C432" s="1180"/>
      <c r="D432" s="409" t="s">
        <v>464</v>
      </c>
      <c r="E432" s="409" t="s">
        <v>488</v>
      </c>
      <c r="F432" s="409" t="s">
        <v>489</v>
      </c>
      <c r="G432" s="1662"/>
      <c r="H432" s="1682">
        <f t="shared" si="99"/>
        <v>0</v>
      </c>
      <c r="I432" s="529">
        <f t="shared" si="99"/>
        <v>0</v>
      </c>
      <c r="J432" s="270">
        <f t="shared" si="99"/>
        <v>0</v>
      </c>
      <c r="K432" s="1858"/>
      <c r="L432" s="1858"/>
      <c r="M432" s="1858"/>
      <c r="N432" s="1200">
        <f t="shared" si="100"/>
        <v>0</v>
      </c>
      <c r="O432" s="1858"/>
      <c r="P432" s="1858"/>
      <c r="Q432" s="1858"/>
      <c r="R432" s="1858"/>
      <c r="S432" s="1858"/>
      <c r="T432" s="1858"/>
      <c r="U432" s="1682">
        <f t="shared" si="101"/>
        <v>0</v>
      </c>
    </row>
    <row r="433" spans="1:21" hidden="1" x14ac:dyDescent="0.25">
      <c r="A433" s="1233"/>
      <c r="B433" s="1253" t="s">
        <v>351</v>
      </c>
      <c r="C433" s="1180"/>
      <c r="D433" s="409" t="s">
        <v>464</v>
      </c>
      <c r="E433" s="409" t="s">
        <v>488</v>
      </c>
      <c r="F433" s="409" t="s">
        <v>487</v>
      </c>
      <c r="G433" s="1662"/>
      <c r="H433" s="1682">
        <f>H434+H435+H436</f>
        <v>0</v>
      </c>
      <c r="I433" s="529">
        <f>I434+I435+I436</f>
        <v>0</v>
      </c>
      <c r="J433" s="270">
        <f>J434+J435+J436</f>
        <v>0</v>
      </c>
      <c r="K433" s="1858"/>
      <c r="L433" s="1858"/>
      <c r="M433" s="1858"/>
      <c r="N433" s="1200">
        <f>N434+N435+N436</f>
        <v>0</v>
      </c>
      <c r="O433" s="1858"/>
      <c r="P433" s="1858"/>
      <c r="Q433" s="1858"/>
      <c r="R433" s="1858"/>
      <c r="S433" s="1858"/>
      <c r="T433" s="1858"/>
      <c r="U433" s="1682">
        <f>U434+U435+U436</f>
        <v>0</v>
      </c>
    </row>
    <row r="434" spans="1:21" hidden="1" x14ac:dyDescent="0.25">
      <c r="A434" s="1179"/>
      <c r="B434" s="1254" t="s">
        <v>458</v>
      </c>
      <c r="C434" s="1183"/>
      <c r="D434" s="409" t="s">
        <v>464</v>
      </c>
      <c r="E434" s="409" t="s">
        <v>488</v>
      </c>
      <c r="F434" s="409" t="s">
        <v>487</v>
      </c>
      <c r="G434" s="1662" t="s">
        <v>255</v>
      </c>
      <c r="H434" s="1682"/>
      <c r="I434" s="529"/>
      <c r="J434" s="270"/>
      <c r="K434" s="1858"/>
      <c r="L434" s="1858"/>
      <c r="M434" s="1858"/>
      <c r="N434" s="1200"/>
      <c r="O434" s="1858"/>
      <c r="P434" s="1858"/>
      <c r="Q434" s="1858"/>
      <c r="R434" s="1858"/>
      <c r="S434" s="1858"/>
      <c r="T434" s="1858"/>
      <c r="U434" s="1682"/>
    </row>
    <row r="435" spans="1:21" ht="23" hidden="1" x14ac:dyDescent="0.25">
      <c r="A435" s="1179"/>
      <c r="B435" s="1254" t="s">
        <v>454</v>
      </c>
      <c r="C435" s="1183"/>
      <c r="D435" s="409" t="s">
        <v>464</v>
      </c>
      <c r="E435" s="409" t="s">
        <v>488</v>
      </c>
      <c r="F435" s="409" t="s">
        <v>487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5">
      <c r="A436" s="1179"/>
      <c r="B436" s="1254" t="s">
        <v>457</v>
      </c>
      <c r="C436" s="1183"/>
      <c r="D436" s="409" t="s">
        <v>464</v>
      </c>
      <c r="E436" s="409" t="s">
        <v>488</v>
      </c>
      <c r="F436" s="409" t="s">
        <v>487</v>
      </c>
      <c r="G436" s="1662" t="s">
        <v>91</v>
      </c>
      <c r="H436" s="1682"/>
      <c r="I436" s="529"/>
      <c r="J436" s="270"/>
      <c r="K436" s="1858"/>
      <c r="L436" s="1858"/>
      <c r="M436" s="1858"/>
      <c r="N436" s="1200"/>
      <c r="O436" s="1858"/>
      <c r="P436" s="1858"/>
      <c r="Q436" s="1858"/>
      <c r="R436" s="1858"/>
      <c r="S436" s="1858"/>
      <c r="T436" s="1858"/>
      <c r="U436" s="1682"/>
    </row>
    <row r="437" spans="1:21" x14ac:dyDescent="0.25">
      <c r="A437" s="1179"/>
      <c r="B437" s="1184" t="s">
        <v>64</v>
      </c>
      <c r="C437" s="1177"/>
      <c r="D437" s="408" t="s">
        <v>464</v>
      </c>
      <c r="E437" s="408" t="s">
        <v>463</v>
      </c>
      <c r="F437" s="408" t="s">
        <v>106</v>
      </c>
      <c r="G437" s="1661" t="s">
        <v>106</v>
      </c>
      <c r="H437" s="1683">
        <f>H438+H465</f>
        <v>1650</v>
      </c>
      <c r="I437" s="841">
        <f>I438+I465</f>
        <v>0</v>
      </c>
      <c r="J437" s="277">
        <f>J438+J465</f>
        <v>0</v>
      </c>
      <c r="K437" s="1858"/>
      <c r="L437" s="1858"/>
      <c r="M437" s="1858"/>
      <c r="N437" s="1208">
        <f>N438+N465</f>
        <v>1700</v>
      </c>
      <c r="O437" s="1858"/>
      <c r="P437" s="1858"/>
      <c r="Q437" s="1858"/>
      <c r="R437" s="1858"/>
      <c r="S437" s="1858"/>
      <c r="T437" s="1858"/>
      <c r="U437" s="1683">
        <f>U438+U465</f>
        <v>1750</v>
      </c>
    </row>
    <row r="438" spans="1:21" ht="30" customHeight="1" x14ac:dyDescent="0.25">
      <c r="A438" s="1179"/>
      <c r="B438" s="1205" t="s">
        <v>906</v>
      </c>
      <c r="C438" s="1177"/>
      <c r="D438" s="409" t="s">
        <v>464</v>
      </c>
      <c r="E438" s="409" t="s">
        <v>463</v>
      </c>
      <c r="F438" s="409" t="s">
        <v>311</v>
      </c>
      <c r="G438" s="1661"/>
      <c r="H438" s="1683">
        <f>H439+H448</f>
        <v>1650</v>
      </c>
      <c r="I438" s="841">
        <f>I439+I448</f>
        <v>0</v>
      </c>
      <c r="J438" s="277">
        <f>J439+J448</f>
        <v>0</v>
      </c>
      <c r="K438" s="1858"/>
      <c r="L438" s="1858"/>
      <c r="M438" s="1858"/>
      <c r="N438" s="1208">
        <f>N439+N448</f>
        <v>1700</v>
      </c>
      <c r="O438" s="1858"/>
      <c r="P438" s="1858"/>
      <c r="Q438" s="1858"/>
      <c r="R438" s="1858"/>
      <c r="S438" s="1858"/>
      <c r="T438" s="1858"/>
      <c r="U438" s="1683">
        <f>U439+U448</f>
        <v>1750</v>
      </c>
    </row>
    <row r="439" spans="1:21" ht="21" hidden="1" x14ac:dyDescent="0.25">
      <c r="A439" s="1179"/>
      <c r="B439" s="753" t="s">
        <v>486</v>
      </c>
      <c r="C439" s="1180"/>
      <c r="D439" s="409" t="s">
        <v>464</v>
      </c>
      <c r="E439" s="409" t="s">
        <v>463</v>
      </c>
      <c r="F439" s="409" t="s">
        <v>485</v>
      </c>
      <c r="G439" s="1661"/>
      <c r="H439" s="1682">
        <f>H440+H443</f>
        <v>0</v>
      </c>
      <c r="I439" s="529">
        <f>I440+I443</f>
        <v>0</v>
      </c>
      <c r="J439" s="270">
        <f>J440+J443</f>
        <v>0</v>
      </c>
      <c r="K439" s="1858"/>
      <c r="L439" s="1858"/>
      <c r="M439" s="1858"/>
      <c r="N439" s="1200">
        <f>N440+N443</f>
        <v>0</v>
      </c>
      <c r="O439" s="1858"/>
      <c r="P439" s="1858"/>
      <c r="Q439" s="1858"/>
      <c r="R439" s="1858"/>
      <c r="S439" s="1858"/>
      <c r="T439" s="1858"/>
      <c r="U439" s="1682">
        <f>U440+U443</f>
        <v>0</v>
      </c>
    </row>
    <row r="440" spans="1:21" ht="21" hidden="1" x14ac:dyDescent="0.25">
      <c r="A440" s="1179"/>
      <c r="B440" s="753" t="s">
        <v>484</v>
      </c>
      <c r="C440" s="1180"/>
      <c r="D440" s="409" t="s">
        <v>464</v>
      </c>
      <c r="E440" s="409" t="s">
        <v>463</v>
      </c>
      <c r="F440" s="409" t="s">
        <v>483</v>
      </c>
      <c r="G440" s="1661"/>
      <c r="H440" s="1682">
        <f t="shared" ref="H440:J441" si="102">H441</f>
        <v>0</v>
      </c>
      <c r="I440" s="529">
        <f t="shared" si="102"/>
        <v>0</v>
      </c>
      <c r="J440" s="270">
        <f t="shared" si="102"/>
        <v>0</v>
      </c>
      <c r="K440" s="1858"/>
      <c r="L440" s="1858"/>
      <c r="M440" s="1858"/>
      <c r="N440" s="1200">
        <f t="shared" ref="N440:N441" si="103">N441</f>
        <v>0</v>
      </c>
      <c r="O440" s="1858"/>
      <c r="P440" s="1858"/>
      <c r="Q440" s="1858"/>
      <c r="R440" s="1858"/>
      <c r="S440" s="1858"/>
      <c r="T440" s="1858"/>
      <c r="U440" s="1682">
        <f t="shared" ref="U440:U441" si="104">U441</f>
        <v>0</v>
      </c>
    </row>
    <row r="441" spans="1:21" ht="21" hidden="1" x14ac:dyDescent="0.25">
      <c r="A441" s="1179"/>
      <c r="B441" s="753" t="s">
        <v>482</v>
      </c>
      <c r="C441" s="1180"/>
      <c r="D441" s="409" t="s">
        <v>464</v>
      </c>
      <c r="E441" s="409" t="s">
        <v>463</v>
      </c>
      <c r="F441" s="409" t="s">
        <v>480</v>
      </c>
      <c r="G441" s="1662"/>
      <c r="H441" s="1682">
        <f t="shared" si="102"/>
        <v>0</v>
      </c>
      <c r="I441" s="529">
        <f t="shared" si="102"/>
        <v>0</v>
      </c>
      <c r="J441" s="270">
        <f t="shared" si="102"/>
        <v>0</v>
      </c>
      <c r="K441" s="1858"/>
      <c r="L441" s="1858"/>
      <c r="M441" s="1858"/>
      <c r="N441" s="1200">
        <f t="shared" si="103"/>
        <v>0</v>
      </c>
      <c r="O441" s="1858"/>
      <c r="P441" s="1858"/>
      <c r="Q441" s="1858"/>
      <c r="R441" s="1858"/>
      <c r="S441" s="1858"/>
      <c r="T441" s="1858"/>
      <c r="U441" s="1682">
        <f t="shared" si="104"/>
        <v>0</v>
      </c>
    </row>
    <row r="442" spans="1:21" hidden="1" x14ac:dyDescent="0.25">
      <c r="A442" s="1179"/>
      <c r="B442" s="1182" t="s">
        <v>481</v>
      </c>
      <c r="C442" s="1183"/>
      <c r="D442" s="409" t="s">
        <v>464</v>
      </c>
      <c r="E442" s="409" t="s">
        <v>463</v>
      </c>
      <c r="F442" s="409" t="s">
        <v>480</v>
      </c>
      <c r="G442" s="1662" t="s">
        <v>26</v>
      </c>
      <c r="H442" s="1682">
        <v>0</v>
      </c>
      <c r="I442" s="529">
        <v>0</v>
      </c>
      <c r="J442" s="270">
        <v>0</v>
      </c>
      <c r="K442" s="1858"/>
      <c r="L442" s="1858"/>
      <c r="M442" s="1858"/>
      <c r="N442" s="1200">
        <v>0</v>
      </c>
      <c r="O442" s="1858"/>
      <c r="P442" s="1858"/>
      <c r="Q442" s="1858"/>
      <c r="R442" s="1858"/>
      <c r="S442" s="1858"/>
      <c r="T442" s="1858"/>
      <c r="U442" s="1682">
        <v>0</v>
      </c>
    </row>
    <row r="443" spans="1:21" hidden="1" x14ac:dyDescent="0.25">
      <c r="A443" s="1179"/>
      <c r="B443" s="753" t="s">
        <v>479</v>
      </c>
      <c r="C443" s="1180"/>
      <c r="D443" s="409" t="s">
        <v>464</v>
      </c>
      <c r="E443" s="409" t="s">
        <v>463</v>
      </c>
      <c r="F443" s="409" t="s">
        <v>478</v>
      </c>
      <c r="G443" s="1661"/>
      <c r="H443" s="1682">
        <f>H444+H446</f>
        <v>0</v>
      </c>
      <c r="I443" s="529">
        <f>I444+I446</f>
        <v>0</v>
      </c>
      <c r="J443" s="270">
        <f>J444+J446</f>
        <v>0</v>
      </c>
      <c r="K443" s="1858"/>
      <c r="L443" s="1858"/>
      <c r="M443" s="1858"/>
      <c r="N443" s="1200">
        <f>N444+N446</f>
        <v>0</v>
      </c>
      <c r="O443" s="1858"/>
      <c r="P443" s="1858"/>
      <c r="Q443" s="1858"/>
      <c r="R443" s="1858"/>
      <c r="S443" s="1858"/>
      <c r="T443" s="1858"/>
      <c r="U443" s="1682">
        <f>U444+U446</f>
        <v>0</v>
      </c>
    </row>
    <row r="444" spans="1:21" hidden="1" x14ac:dyDescent="0.25">
      <c r="A444" s="1179"/>
      <c r="B444" s="753" t="s">
        <v>477</v>
      </c>
      <c r="C444" s="1180"/>
      <c r="D444" s="409" t="s">
        <v>464</v>
      </c>
      <c r="E444" s="409" t="s">
        <v>463</v>
      </c>
      <c r="F444" s="409" t="s">
        <v>476</v>
      </c>
      <c r="G444" s="1662"/>
      <c r="H444" s="1682">
        <f>H445</f>
        <v>0</v>
      </c>
      <c r="I444" s="529">
        <f>I445</f>
        <v>0</v>
      </c>
      <c r="J444" s="270">
        <f>J445</f>
        <v>0</v>
      </c>
      <c r="K444" s="1858"/>
      <c r="L444" s="1858"/>
      <c r="M444" s="1858"/>
      <c r="N444" s="1200">
        <f>N445</f>
        <v>0</v>
      </c>
      <c r="O444" s="1858"/>
      <c r="P444" s="1858"/>
      <c r="Q444" s="1858"/>
      <c r="R444" s="1858"/>
      <c r="S444" s="1858"/>
      <c r="T444" s="1858"/>
      <c r="U444" s="1682">
        <f>U445</f>
        <v>0</v>
      </c>
    </row>
    <row r="445" spans="1:21" ht="21" hidden="1" x14ac:dyDescent="0.25">
      <c r="A445" s="1179"/>
      <c r="B445" s="1182" t="s">
        <v>454</v>
      </c>
      <c r="C445" s="1183"/>
      <c r="D445" s="409" t="s">
        <v>464</v>
      </c>
      <c r="E445" s="409" t="s">
        <v>463</v>
      </c>
      <c r="F445" s="409" t="s">
        <v>476</v>
      </c>
      <c r="G445" s="1662" t="s">
        <v>1</v>
      </c>
      <c r="H445" s="1682"/>
      <c r="I445" s="529"/>
      <c r="J445" s="270"/>
      <c r="K445" s="1858"/>
      <c r="L445" s="1858"/>
      <c r="M445" s="1858"/>
      <c r="N445" s="1200"/>
      <c r="O445" s="1858"/>
      <c r="P445" s="1858"/>
      <c r="Q445" s="1858"/>
      <c r="R445" s="1858"/>
      <c r="S445" s="1858"/>
      <c r="T445" s="1858"/>
      <c r="U445" s="1682"/>
    </row>
    <row r="446" spans="1:21" hidden="1" x14ac:dyDescent="0.25">
      <c r="A446" s="1179"/>
      <c r="B446" s="753" t="s">
        <v>475</v>
      </c>
      <c r="C446" s="1180"/>
      <c r="D446" s="409" t="s">
        <v>464</v>
      </c>
      <c r="E446" s="409" t="s">
        <v>463</v>
      </c>
      <c r="F446" s="409" t="s">
        <v>474</v>
      </c>
      <c r="G446" s="1662"/>
      <c r="H446" s="1682">
        <f>H447</f>
        <v>0</v>
      </c>
      <c r="I446" s="529">
        <f>I447</f>
        <v>0</v>
      </c>
      <c r="J446" s="270">
        <f>J447</f>
        <v>0</v>
      </c>
      <c r="K446" s="1858"/>
      <c r="L446" s="1858"/>
      <c r="M446" s="1858"/>
      <c r="N446" s="1200">
        <f>N447</f>
        <v>0</v>
      </c>
      <c r="O446" s="1858"/>
      <c r="P446" s="1858"/>
      <c r="Q446" s="1858"/>
      <c r="R446" s="1858"/>
      <c r="S446" s="1858"/>
      <c r="T446" s="1858"/>
      <c r="U446" s="1682">
        <f>U447</f>
        <v>0</v>
      </c>
    </row>
    <row r="447" spans="1:21" ht="21" hidden="1" x14ac:dyDescent="0.25">
      <c r="A447" s="1179"/>
      <c r="B447" s="1182" t="s">
        <v>454</v>
      </c>
      <c r="C447" s="1183"/>
      <c r="D447" s="409" t="s">
        <v>464</v>
      </c>
      <c r="E447" s="409" t="s">
        <v>463</v>
      </c>
      <c r="F447" s="409" t="s">
        <v>474</v>
      </c>
      <c r="G447" s="1662" t="s">
        <v>1</v>
      </c>
      <c r="H447" s="1682">
        <v>0</v>
      </c>
      <c r="I447" s="529">
        <v>0</v>
      </c>
      <c r="J447" s="270">
        <v>0</v>
      </c>
      <c r="K447" s="1858"/>
      <c r="L447" s="1858"/>
      <c r="M447" s="1858"/>
      <c r="N447" s="1200">
        <v>0</v>
      </c>
      <c r="O447" s="1858"/>
      <c r="P447" s="1858"/>
      <c r="Q447" s="1858"/>
      <c r="R447" s="1858"/>
      <c r="S447" s="1858"/>
      <c r="T447" s="1858"/>
      <c r="U447" s="1682">
        <v>0</v>
      </c>
    </row>
    <row r="448" spans="1:21" ht="30" customHeight="1" x14ac:dyDescent="0.25">
      <c r="A448" s="1179"/>
      <c r="B448" s="1205" t="s">
        <v>300</v>
      </c>
      <c r="C448" s="1180"/>
      <c r="D448" s="409" t="s">
        <v>464</v>
      </c>
      <c r="E448" s="409" t="s">
        <v>463</v>
      </c>
      <c r="F448" s="409" t="s">
        <v>299</v>
      </c>
      <c r="G448" s="1662"/>
      <c r="H448" s="1682">
        <f>H449+H456</f>
        <v>1650</v>
      </c>
      <c r="I448" s="529">
        <f>I449+I461</f>
        <v>0</v>
      </c>
      <c r="J448" s="270">
        <f>J449+J461</f>
        <v>0</v>
      </c>
      <c r="K448" s="1858"/>
      <c r="L448" s="1858"/>
      <c r="M448" s="1858"/>
      <c r="N448" s="1200">
        <f>N449+N456</f>
        <v>1700</v>
      </c>
      <c r="O448" s="1858"/>
      <c r="P448" s="1858"/>
      <c r="Q448" s="1858"/>
      <c r="R448" s="1858"/>
      <c r="S448" s="1858"/>
      <c r="T448" s="1858"/>
      <c r="U448" s="1682">
        <f>U449+U456</f>
        <v>1750</v>
      </c>
    </row>
    <row r="449" spans="1:21" ht="21" x14ac:dyDescent="0.25">
      <c r="A449" s="1179"/>
      <c r="B449" s="1203" t="s">
        <v>298</v>
      </c>
      <c r="C449" s="1180"/>
      <c r="D449" s="409" t="s">
        <v>464</v>
      </c>
      <c r="E449" s="409" t="s">
        <v>463</v>
      </c>
      <c r="F449" s="409" t="s">
        <v>297</v>
      </c>
      <c r="G449" s="1662"/>
      <c r="H449" s="1682">
        <f t="shared" ref="H449:J449" si="105">H450</f>
        <v>650</v>
      </c>
      <c r="I449" s="529">
        <f t="shared" si="105"/>
        <v>0</v>
      </c>
      <c r="J449" s="270">
        <f t="shared" si="105"/>
        <v>0</v>
      </c>
      <c r="K449" s="1858"/>
      <c r="L449" s="1858"/>
      <c r="M449" s="1858"/>
      <c r="N449" s="1200">
        <f t="shared" ref="N449" si="106">N450</f>
        <v>700</v>
      </c>
      <c r="O449" s="1858"/>
      <c r="P449" s="1858"/>
      <c r="Q449" s="1858"/>
      <c r="R449" s="1858"/>
      <c r="S449" s="1858"/>
      <c r="T449" s="1858"/>
      <c r="U449" s="1682">
        <f t="shared" ref="U449" si="107">U450</f>
        <v>750</v>
      </c>
    </row>
    <row r="450" spans="1:21" ht="21" customHeight="1" x14ac:dyDescent="0.25">
      <c r="A450" s="1233"/>
      <c r="B450" s="1205" t="s">
        <v>296</v>
      </c>
      <c r="C450" s="1180"/>
      <c r="D450" s="409" t="s">
        <v>464</v>
      </c>
      <c r="E450" s="409" t="s">
        <v>463</v>
      </c>
      <c r="F450" s="409" t="s">
        <v>294</v>
      </c>
      <c r="G450" s="1662"/>
      <c r="H450" s="1682">
        <f>H452</f>
        <v>650</v>
      </c>
      <c r="I450" s="529">
        <f>I452</f>
        <v>0</v>
      </c>
      <c r="J450" s="270">
        <f>J452</f>
        <v>0</v>
      </c>
      <c r="K450" s="1858"/>
      <c r="L450" s="1858"/>
      <c r="M450" s="1858"/>
      <c r="N450" s="1200">
        <f>N452</f>
        <v>700</v>
      </c>
      <c r="O450" s="1858"/>
      <c r="P450" s="1858"/>
      <c r="Q450" s="1858"/>
      <c r="R450" s="1858"/>
      <c r="S450" s="1858"/>
      <c r="T450" s="1858"/>
      <c r="U450" s="1682">
        <f>U452</f>
        <v>750</v>
      </c>
    </row>
    <row r="451" spans="1:21" x14ac:dyDescent="0.25">
      <c r="A451" s="1233"/>
      <c r="B451" s="753" t="s">
        <v>948</v>
      </c>
      <c r="C451" s="1180"/>
      <c r="D451" s="409" t="s">
        <v>464</v>
      </c>
      <c r="E451" s="409" t="s">
        <v>463</v>
      </c>
      <c r="F451" s="409" t="s">
        <v>294</v>
      </c>
      <c r="G451" s="1662" t="s">
        <v>955</v>
      </c>
      <c r="H451" s="1682">
        <f t="shared" ref="H451:U451" si="108">H452</f>
        <v>650</v>
      </c>
      <c r="I451" s="529">
        <f t="shared" si="108"/>
        <v>0</v>
      </c>
      <c r="J451" s="404">
        <f t="shared" si="108"/>
        <v>0</v>
      </c>
      <c r="K451" s="1858">
        <f t="shared" si="108"/>
        <v>0</v>
      </c>
      <c r="L451" s="1858">
        <f t="shared" si="108"/>
        <v>0</v>
      </c>
      <c r="M451" s="1858">
        <f t="shared" si="108"/>
        <v>0</v>
      </c>
      <c r="N451" s="1200">
        <f t="shared" si="108"/>
        <v>700</v>
      </c>
      <c r="O451" s="1858">
        <f t="shared" si="108"/>
        <v>0</v>
      </c>
      <c r="P451" s="1858">
        <f t="shared" si="108"/>
        <v>0</v>
      </c>
      <c r="Q451" s="1858">
        <f t="shared" si="108"/>
        <v>0</v>
      </c>
      <c r="R451" s="1858">
        <f t="shared" si="108"/>
        <v>0</v>
      </c>
      <c r="S451" s="1858">
        <f t="shared" si="108"/>
        <v>0</v>
      </c>
      <c r="T451" s="1858">
        <f t="shared" si="108"/>
        <v>0</v>
      </c>
      <c r="U451" s="1682">
        <f t="shared" si="108"/>
        <v>750</v>
      </c>
    </row>
    <row r="452" spans="1:21" ht="21" x14ac:dyDescent="0.25">
      <c r="A452" s="1233"/>
      <c r="B452" s="1182" t="s">
        <v>454</v>
      </c>
      <c r="C452" s="1183"/>
      <c r="D452" s="409" t="s">
        <v>464</v>
      </c>
      <c r="E452" s="409" t="s">
        <v>463</v>
      </c>
      <c r="F452" s="409" t="s">
        <v>294</v>
      </c>
      <c r="G452" s="1662" t="s">
        <v>1</v>
      </c>
      <c r="H452" s="1682">
        <v>650</v>
      </c>
      <c r="I452" s="529"/>
      <c r="J452" s="269"/>
      <c r="K452" s="1858"/>
      <c r="L452" s="1858"/>
      <c r="M452" s="1858"/>
      <c r="N452" s="1200">
        <v>700</v>
      </c>
      <c r="O452" s="1858"/>
      <c r="P452" s="1858"/>
      <c r="Q452" s="1858"/>
      <c r="R452" s="1858"/>
      <c r="S452" s="1858"/>
      <c r="T452" s="1858"/>
      <c r="U452" s="1682">
        <v>750</v>
      </c>
    </row>
    <row r="453" spans="1:21" ht="21" x14ac:dyDescent="0.25">
      <c r="A453" s="1233"/>
      <c r="B453" s="1393" t="s">
        <v>1057</v>
      </c>
      <c r="C453" s="1183"/>
      <c r="D453" s="409" t="s">
        <v>464</v>
      </c>
      <c r="E453" s="409" t="s">
        <v>463</v>
      </c>
      <c r="F453" s="409" t="s">
        <v>472</v>
      </c>
      <c r="G453" s="1662"/>
      <c r="H453" s="1682">
        <f>H454</f>
        <v>1000</v>
      </c>
      <c r="I453" s="529"/>
      <c r="J453" s="269"/>
      <c r="K453" s="1858"/>
      <c r="L453" s="1858"/>
      <c r="M453" s="1858"/>
      <c r="N453" s="1200">
        <f>N454</f>
        <v>1000</v>
      </c>
      <c r="O453" s="1858"/>
      <c r="P453" s="1858"/>
      <c r="Q453" s="1858"/>
      <c r="R453" s="1858"/>
      <c r="S453" s="1858"/>
      <c r="T453" s="1858"/>
      <c r="U453" s="1682">
        <f>U454</f>
        <v>1000</v>
      </c>
    </row>
    <row r="454" spans="1:21" x14ac:dyDescent="0.25">
      <c r="A454" s="1233"/>
      <c r="B454" s="1393" t="s">
        <v>1058</v>
      </c>
      <c r="C454" s="1183"/>
      <c r="D454" s="409" t="s">
        <v>464</v>
      </c>
      <c r="E454" s="409" t="s">
        <v>463</v>
      </c>
      <c r="F454" s="409" t="s">
        <v>1056</v>
      </c>
      <c r="G454" s="1662"/>
      <c r="H454" s="1682">
        <f>H456</f>
        <v>1000</v>
      </c>
      <c r="I454" s="529"/>
      <c r="J454" s="269"/>
      <c r="K454" s="1858"/>
      <c r="L454" s="1858"/>
      <c r="M454" s="1858"/>
      <c r="N454" s="1200">
        <f>N456</f>
        <v>1000</v>
      </c>
      <c r="O454" s="1858"/>
      <c r="P454" s="1858"/>
      <c r="Q454" s="1858"/>
      <c r="R454" s="1858"/>
      <c r="S454" s="1858"/>
      <c r="T454" s="1858"/>
      <c r="U454" s="1682">
        <f>U456</f>
        <v>1000</v>
      </c>
    </row>
    <row r="455" spans="1:21" x14ac:dyDescent="0.25">
      <c r="A455" s="1233"/>
      <c r="B455" s="1393" t="s">
        <v>1061</v>
      </c>
      <c r="C455" s="1183"/>
      <c r="D455" s="409" t="s">
        <v>464</v>
      </c>
      <c r="E455" s="409" t="s">
        <v>463</v>
      </c>
      <c r="F455" s="409" t="s">
        <v>1056</v>
      </c>
      <c r="G455" s="1662" t="s">
        <v>1060</v>
      </c>
      <c r="H455" s="1682">
        <f t="shared" ref="H455:U455" si="109">H456</f>
        <v>1000</v>
      </c>
      <c r="I455" s="529">
        <f t="shared" si="109"/>
        <v>0</v>
      </c>
      <c r="J455" s="269">
        <f t="shared" si="109"/>
        <v>0</v>
      </c>
      <c r="K455" s="1858">
        <f t="shared" si="109"/>
        <v>0</v>
      </c>
      <c r="L455" s="1858">
        <f t="shared" si="109"/>
        <v>0</v>
      </c>
      <c r="M455" s="1858">
        <f t="shared" si="109"/>
        <v>0</v>
      </c>
      <c r="N455" s="1200">
        <f t="shared" si="109"/>
        <v>1000</v>
      </c>
      <c r="O455" s="1858">
        <f t="shared" si="109"/>
        <v>0</v>
      </c>
      <c r="P455" s="1858">
        <f t="shared" si="109"/>
        <v>0</v>
      </c>
      <c r="Q455" s="1858">
        <f t="shared" si="109"/>
        <v>0</v>
      </c>
      <c r="R455" s="1858">
        <f t="shared" si="109"/>
        <v>0</v>
      </c>
      <c r="S455" s="1858">
        <f t="shared" si="109"/>
        <v>0</v>
      </c>
      <c r="T455" s="1858">
        <f t="shared" si="109"/>
        <v>0</v>
      </c>
      <c r="U455" s="1682">
        <f t="shared" si="109"/>
        <v>1000</v>
      </c>
    </row>
    <row r="456" spans="1:21" x14ac:dyDescent="0.25">
      <c r="A456" s="1233"/>
      <c r="B456" s="1408" t="s">
        <v>28</v>
      </c>
      <c r="C456" s="1183"/>
      <c r="D456" s="409" t="s">
        <v>464</v>
      </c>
      <c r="E456" s="409" t="s">
        <v>463</v>
      </c>
      <c r="F456" s="409" t="s">
        <v>1056</v>
      </c>
      <c r="G456" s="1662" t="s">
        <v>26</v>
      </c>
      <c r="H456" s="1682">
        <v>1000</v>
      </c>
      <c r="I456" s="529"/>
      <c r="J456" s="269"/>
      <c r="K456" s="1858"/>
      <c r="L456" s="1858"/>
      <c r="M456" s="1858"/>
      <c r="N456" s="1200">
        <v>1000</v>
      </c>
      <c r="O456" s="1858"/>
      <c r="P456" s="1858"/>
      <c r="Q456" s="1858"/>
      <c r="R456" s="1858"/>
      <c r="S456" s="1858"/>
      <c r="T456" s="1858"/>
      <c r="U456" s="1682">
        <v>1000</v>
      </c>
    </row>
    <row r="457" spans="1:21" hidden="1" x14ac:dyDescent="0.25">
      <c r="A457" s="1233"/>
      <c r="B457" s="1393" t="s">
        <v>64</v>
      </c>
      <c r="C457" s="1183"/>
      <c r="D457" s="409" t="s">
        <v>464</v>
      </c>
      <c r="E457" s="409" t="s">
        <v>463</v>
      </c>
      <c r="F457" s="409" t="s">
        <v>1056</v>
      </c>
      <c r="G457" s="1662"/>
      <c r="H457" s="1682"/>
      <c r="I457" s="529"/>
      <c r="J457" s="269"/>
      <c r="K457" s="1858"/>
      <c r="L457" s="1858"/>
      <c r="M457" s="1858"/>
      <c r="N457" s="1200"/>
      <c r="O457" s="1858"/>
      <c r="P457" s="1858"/>
      <c r="Q457" s="1858"/>
      <c r="R457" s="1858"/>
      <c r="S457" s="1858"/>
      <c r="T457" s="1858"/>
      <c r="U457" s="1682"/>
    </row>
    <row r="458" spans="1:21" x14ac:dyDescent="0.25">
      <c r="A458" s="1233"/>
      <c r="B458" s="1255" t="s">
        <v>934</v>
      </c>
      <c r="C458" s="1183"/>
      <c r="D458" s="408" t="s">
        <v>534</v>
      </c>
      <c r="E458" s="409"/>
      <c r="F458" s="409"/>
      <c r="G458" s="1662"/>
      <c r="H458" s="1683">
        <f>H459</f>
        <v>800</v>
      </c>
      <c r="I458" s="529"/>
      <c r="J458" s="269"/>
      <c r="K458" s="1862">
        <v>1200</v>
      </c>
      <c r="L458" s="1858"/>
      <c r="M458" s="1858"/>
      <c r="N458" s="1208">
        <f>N459</f>
        <v>850</v>
      </c>
      <c r="O458" s="1858"/>
      <c r="P458" s="1858"/>
      <c r="Q458" s="1858"/>
      <c r="R458" s="1858"/>
      <c r="S458" s="1858"/>
      <c r="T458" s="1858"/>
      <c r="U458" s="1683">
        <f>U459</f>
        <v>900</v>
      </c>
    </row>
    <row r="459" spans="1:21" x14ac:dyDescent="0.25">
      <c r="A459" s="1233"/>
      <c r="B459" s="752" t="s">
        <v>920</v>
      </c>
      <c r="C459" s="1183"/>
      <c r="D459" s="408" t="s">
        <v>534</v>
      </c>
      <c r="E459" s="408" t="s">
        <v>488</v>
      </c>
      <c r="F459" s="408"/>
      <c r="G459" s="1662"/>
      <c r="H459" s="1683">
        <f>H460</f>
        <v>800</v>
      </c>
      <c r="I459" s="529"/>
      <c r="J459" s="269"/>
      <c r="K459" s="1858"/>
      <c r="L459" s="1858"/>
      <c r="M459" s="1858"/>
      <c r="N459" s="1208">
        <f>N460</f>
        <v>850</v>
      </c>
      <c r="O459" s="1858"/>
      <c r="P459" s="1858"/>
      <c r="Q459" s="1858"/>
      <c r="R459" s="1858"/>
      <c r="S459" s="1858"/>
      <c r="T459" s="1858"/>
      <c r="U459" s="1683">
        <f>U460</f>
        <v>900</v>
      </c>
    </row>
    <row r="460" spans="1:21" x14ac:dyDescent="0.25">
      <c r="A460" s="305"/>
      <c r="B460" s="753" t="s">
        <v>109</v>
      </c>
      <c r="C460" s="1183"/>
      <c r="D460" s="409" t="s">
        <v>534</v>
      </c>
      <c r="E460" s="409" t="s">
        <v>488</v>
      </c>
      <c r="F460" s="409" t="s">
        <v>84</v>
      </c>
      <c r="G460" s="1662"/>
      <c r="H460" s="1682">
        <f>H461</f>
        <v>800</v>
      </c>
      <c r="I460" s="529"/>
      <c r="J460" s="269"/>
      <c r="K460" s="1858"/>
      <c r="L460" s="1858"/>
      <c r="M460" s="1858"/>
      <c r="N460" s="1200">
        <f>N461</f>
        <v>850</v>
      </c>
      <c r="O460" s="1858"/>
      <c r="P460" s="1858"/>
      <c r="Q460" s="1858"/>
      <c r="R460" s="1858"/>
      <c r="S460" s="1858"/>
      <c r="T460" s="1858"/>
      <c r="U460" s="1682">
        <f>U461</f>
        <v>900</v>
      </c>
    </row>
    <row r="461" spans="1:21" x14ac:dyDescent="0.25">
      <c r="A461" s="273"/>
      <c r="B461" s="753" t="s">
        <v>109</v>
      </c>
      <c r="C461" s="1180"/>
      <c r="D461" s="409" t="s">
        <v>534</v>
      </c>
      <c r="E461" s="409" t="s">
        <v>488</v>
      </c>
      <c r="F461" s="409" t="s">
        <v>82</v>
      </c>
      <c r="G461" s="1662"/>
      <c r="H461" s="1682">
        <f>H462</f>
        <v>800</v>
      </c>
      <c r="I461" s="529">
        <f>I462</f>
        <v>0</v>
      </c>
      <c r="J461" s="269">
        <f>J462</f>
        <v>0</v>
      </c>
      <c r="K461" s="1858"/>
      <c r="L461" s="1858"/>
      <c r="M461" s="1858"/>
      <c r="N461" s="1200">
        <f>N462</f>
        <v>850</v>
      </c>
      <c r="O461" s="1858"/>
      <c r="P461" s="1858"/>
      <c r="Q461" s="1858"/>
      <c r="R461" s="1858"/>
      <c r="S461" s="1858"/>
      <c r="T461" s="1858"/>
      <c r="U461" s="1682">
        <f>U462</f>
        <v>900</v>
      </c>
    </row>
    <row r="462" spans="1:21" ht="21" x14ac:dyDescent="0.25">
      <c r="A462" s="305"/>
      <c r="B462" s="1205" t="s">
        <v>935</v>
      </c>
      <c r="C462" s="1180"/>
      <c r="D462" s="409" t="s">
        <v>534</v>
      </c>
      <c r="E462" s="409" t="s">
        <v>488</v>
      </c>
      <c r="F462" s="409" t="s">
        <v>919</v>
      </c>
      <c r="G462" s="1662"/>
      <c r="H462" s="1682">
        <f>H464</f>
        <v>800</v>
      </c>
      <c r="I462" s="529">
        <f>I464</f>
        <v>0</v>
      </c>
      <c r="J462" s="269">
        <f>J464</f>
        <v>0</v>
      </c>
      <c r="K462" s="1858"/>
      <c r="L462" s="1858"/>
      <c r="M462" s="1858"/>
      <c r="N462" s="1200">
        <f>N464</f>
        <v>850</v>
      </c>
      <c r="O462" s="1858"/>
      <c r="P462" s="1858"/>
      <c r="Q462" s="1858"/>
      <c r="R462" s="1858"/>
      <c r="S462" s="1858"/>
      <c r="T462" s="1858"/>
      <c r="U462" s="1682">
        <f>U464</f>
        <v>900</v>
      </c>
    </row>
    <row r="463" spans="1:21" x14ac:dyDescent="0.25">
      <c r="A463" s="304"/>
      <c r="B463" s="1256" t="s">
        <v>921</v>
      </c>
      <c r="C463" s="1257"/>
      <c r="D463" s="409" t="s">
        <v>534</v>
      </c>
      <c r="E463" s="409" t="s">
        <v>488</v>
      </c>
      <c r="F463" s="409" t="s">
        <v>919</v>
      </c>
      <c r="G463" s="1663" t="s">
        <v>955</v>
      </c>
      <c r="H463" s="1688">
        <f>H464</f>
        <v>800</v>
      </c>
      <c r="I463" s="529"/>
      <c r="J463" s="269"/>
      <c r="K463" s="1858"/>
      <c r="L463" s="1858"/>
      <c r="M463" s="1858"/>
      <c r="N463" s="1258">
        <f>N464</f>
        <v>850</v>
      </c>
      <c r="O463" s="1858"/>
      <c r="P463" s="1858"/>
      <c r="Q463" s="1858"/>
      <c r="R463" s="1858"/>
      <c r="S463" s="1858"/>
      <c r="T463" s="1858"/>
      <c r="U463" s="1688">
        <f>U464</f>
        <v>900</v>
      </c>
    </row>
    <row r="464" spans="1:21" ht="21.5" thickBot="1" x14ac:dyDescent="0.3">
      <c r="A464" s="778"/>
      <c r="B464" s="1259" t="s">
        <v>454</v>
      </c>
      <c r="C464" s="1260"/>
      <c r="D464" s="2183" t="s">
        <v>534</v>
      </c>
      <c r="E464" s="2183" t="s">
        <v>488</v>
      </c>
      <c r="F464" s="2183" t="s">
        <v>919</v>
      </c>
      <c r="G464" s="1672" t="s">
        <v>1</v>
      </c>
      <c r="H464" s="1689">
        <v>800</v>
      </c>
      <c r="I464" s="529"/>
      <c r="J464" s="269"/>
      <c r="K464" s="1858"/>
      <c r="L464" s="1858"/>
      <c r="M464" s="1858"/>
      <c r="N464" s="1262">
        <v>850</v>
      </c>
      <c r="O464" s="1858"/>
      <c r="P464" s="1858"/>
      <c r="Q464" s="1858"/>
      <c r="R464" s="1858"/>
      <c r="S464" s="1858"/>
      <c r="T464" s="1858"/>
      <c r="U464" s="1689">
        <v>900</v>
      </c>
    </row>
    <row r="465" spans="1:21" ht="34.5" hidden="1" customHeight="1" x14ac:dyDescent="0.25">
      <c r="A465" s="291"/>
      <c r="B465" s="290" t="s">
        <v>469</v>
      </c>
      <c r="C465" s="289"/>
      <c r="D465" s="288" t="s">
        <v>464</v>
      </c>
      <c r="E465" s="288" t="s">
        <v>463</v>
      </c>
      <c r="F465" s="288" t="s">
        <v>468</v>
      </c>
      <c r="G465" s="2187"/>
      <c r="H465" s="2195">
        <f t="shared" ref="H465:J467" si="110">H466</f>
        <v>0</v>
      </c>
      <c r="I465" s="841">
        <f t="shared" si="110"/>
        <v>0</v>
      </c>
      <c r="J465" s="276">
        <f t="shared" si="110"/>
        <v>0</v>
      </c>
      <c r="K465" s="1858"/>
      <c r="L465" s="1858"/>
      <c r="M465" s="1858"/>
      <c r="N465" s="1263">
        <f t="shared" ref="N465:N467" si="111">N466</f>
        <v>0</v>
      </c>
      <c r="O465" s="1858"/>
      <c r="P465" s="1858"/>
      <c r="Q465" s="1858"/>
      <c r="R465" s="1858"/>
      <c r="S465" s="1858"/>
      <c r="T465" s="1858"/>
      <c r="U465" s="2195">
        <f t="shared" ref="U465:U467" si="112">U466</f>
        <v>0</v>
      </c>
    </row>
    <row r="466" spans="1:21" ht="13" hidden="1" thickBot="1" x14ac:dyDescent="0.3">
      <c r="A466" s="273"/>
      <c r="B466" s="285" t="s">
        <v>467</v>
      </c>
      <c r="C466" s="272"/>
      <c r="D466" s="271" t="s">
        <v>464</v>
      </c>
      <c r="E466" s="271" t="s">
        <v>463</v>
      </c>
      <c r="F466" s="271" t="s">
        <v>466</v>
      </c>
      <c r="G466" s="2188"/>
      <c r="H466" s="2196">
        <f t="shared" si="110"/>
        <v>0</v>
      </c>
      <c r="I466" s="529">
        <f t="shared" si="110"/>
        <v>0</v>
      </c>
      <c r="J466" s="269">
        <f t="shared" si="110"/>
        <v>0</v>
      </c>
      <c r="K466" s="1858"/>
      <c r="L466" s="1858"/>
      <c r="M466" s="1858"/>
      <c r="N466" s="1264">
        <f t="shared" si="111"/>
        <v>0</v>
      </c>
      <c r="O466" s="1858"/>
      <c r="P466" s="1858"/>
      <c r="Q466" s="1858"/>
      <c r="R466" s="1858"/>
      <c r="S466" s="1858"/>
      <c r="T466" s="1858"/>
      <c r="U466" s="2196">
        <f t="shared" si="112"/>
        <v>0</v>
      </c>
    </row>
    <row r="467" spans="1:21" ht="13" hidden="1" thickBot="1" x14ac:dyDescent="0.3">
      <c r="A467" s="305"/>
      <c r="B467" s="285" t="s">
        <v>465</v>
      </c>
      <c r="C467" s="272"/>
      <c r="D467" s="271" t="s">
        <v>464</v>
      </c>
      <c r="E467" s="271" t="s">
        <v>463</v>
      </c>
      <c r="F467" s="271" t="s">
        <v>462</v>
      </c>
      <c r="G467" s="2188"/>
      <c r="H467" s="2196">
        <f t="shared" si="110"/>
        <v>0</v>
      </c>
      <c r="I467" s="529">
        <f t="shared" si="110"/>
        <v>0</v>
      </c>
      <c r="J467" s="269">
        <f t="shared" si="110"/>
        <v>0</v>
      </c>
      <c r="K467" s="1858"/>
      <c r="L467" s="1858"/>
      <c r="M467" s="1858"/>
      <c r="N467" s="1264">
        <f t="shared" si="111"/>
        <v>0</v>
      </c>
      <c r="O467" s="1858"/>
      <c r="P467" s="1858"/>
      <c r="Q467" s="1858"/>
      <c r="R467" s="1858"/>
      <c r="S467" s="1858"/>
      <c r="T467" s="1858"/>
      <c r="U467" s="2196">
        <f t="shared" si="112"/>
        <v>0</v>
      </c>
    </row>
    <row r="468" spans="1:21" ht="20.5" hidden="1" thickBot="1" x14ac:dyDescent="0.3">
      <c r="A468" s="304"/>
      <c r="B468" s="303" t="s">
        <v>454</v>
      </c>
      <c r="C468" s="302"/>
      <c r="D468" s="301" t="s">
        <v>464</v>
      </c>
      <c r="E468" s="301" t="s">
        <v>463</v>
      </c>
      <c r="F468" s="301" t="s">
        <v>462</v>
      </c>
      <c r="G468" s="2189" t="s">
        <v>1</v>
      </c>
      <c r="H468" s="2197"/>
      <c r="I468" s="2193"/>
      <c r="J468" s="299"/>
      <c r="K468" s="1858"/>
      <c r="L468" s="1858"/>
      <c r="M468" s="1858"/>
      <c r="N468" s="1265"/>
      <c r="O468" s="1858"/>
      <c r="P468" s="1858"/>
      <c r="Q468" s="1858"/>
      <c r="R468" s="1858"/>
      <c r="S468" s="1858"/>
      <c r="T468" s="1858"/>
      <c r="U468" s="2197"/>
    </row>
    <row r="469" spans="1:21" ht="13" hidden="1" thickBot="1" x14ac:dyDescent="0.3">
      <c r="A469" s="437"/>
      <c r="B469" s="438"/>
      <c r="C469" s="439"/>
      <c r="D469" s="440"/>
      <c r="E469" s="440"/>
      <c r="F469" s="440"/>
      <c r="G469" s="2190"/>
      <c r="H469" s="2198"/>
      <c r="I469" s="2194"/>
      <c r="J469" s="442"/>
      <c r="K469" s="1858"/>
      <c r="L469" s="1858"/>
      <c r="M469" s="1858"/>
      <c r="N469" s="1266"/>
      <c r="O469" s="1858"/>
      <c r="P469" s="1858"/>
      <c r="Q469" s="1858"/>
      <c r="R469" s="1858"/>
      <c r="S469" s="1858"/>
      <c r="T469" s="1858"/>
      <c r="U469" s="2198"/>
    </row>
    <row r="470" spans="1:21" ht="13" hidden="1" thickBot="1" x14ac:dyDescent="0.3">
      <c r="A470" s="298">
        <v>3</v>
      </c>
      <c r="B470" s="297" t="s">
        <v>461</v>
      </c>
      <c r="C470" s="296" t="s">
        <v>430</v>
      </c>
      <c r="D470" s="295"/>
      <c r="E470" s="295"/>
      <c r="F470" s="295"/>
      <c r="G470" s="2191"/>
      <c r="H470" s="2199">
        <f>H471</f>
        <v>13305.932999999999</v>
      </c>
      <c r="I470" s="848">
        <f>I471</f>
        <v>8212.5999999999985</v>
      </c>
      <c r="J470" s="292">
        <f>J471</f>
        <v>8263</v>
      </c>
      <c r="K470" s="1858"/>
      <c r="L470" s="1858"/>
      <c r="M470" s="1858"/>
      <c r="N470" s="1267">
        <f>N471</f>
        <v>13454.880999999999</v>
      </c>
      <c r="O470" s="1858"/>
      <c r="P470" s="1858"/>
      <c r="Q470" s="1858"/>
      <c r="R470" s="1858"/>
      <c r="S470" s="1858"/>
      <c r="T470" s="1858"/>
      <c r="U470" s="2199">
        <f>U471</f>
        <v>13108.752</v>
      </c>
    </row>
    <row r="471" spans="1:21" ht="13" hidden="1" thickBot="1" x14ac:dyDescent="0.3">
      <c r="A471" s="291"/>
      <c r="B471" s="290" t="s">
        <v>460</v>
      </c>
      <c r="C471" s="289"/>
      <c r="D471" s="288" t="s">
        <v>453</v>
      </c>
      <c r="E471" s="288" t="s">
        <v>459</v>
      </c>
      <c r="F471" s="288"/>
      <c r="G471" s="2187"/>
      <c r="H471" s="2195">
        <f>H472+H485+H480</f>
        <v>13305.932999999999</v>
      </c>
      <c r="I471" s="849">
        <f>I472+I485</f>
        <v>8212.5999999999985</v>
      </c>
      <c r="J471" s="286">
        <f>J472+J485</f>
        <v>8263</v>
      </c>
      <c r="K471" s="1858"/>
      <c r="L471" s="1858"/>
      <c r="M471" s="1858"/>
      <c r="N471" s="1263">
        <f>N472+N485+N480</f>
        <v>13454.880999999999</v>
      </c>
      <c r="O471" s="1858"/>
      <c r="P471" s="1858"/>
      <c r="Q471" s="1858"/>
      <c r="R471" s="1858"/>
      <c r="S471" s="1858"/>
      <c r="T471" s="1858"/>
      <c r="U471" s="2195">
        <f>U472+U485+U480</f>
        <v>13108.752</v>
      </c>
    </row>
    <row r="472" spans="1:21" ht="13" hidden="1" thickBot="1" x14ac:dyDescent="0.3">
      <c r="A472" s="273"/>
      <c r="B472" s="282" t="s">
        <v>87</v>
      </c>
      <c r="C472" s="279"/>
      <c r="D472" s="278" t="s">
        <v>453</v>
      </c>
      <c r="E472" s="278" t="s">
        <v>456</v>
      </c>
      <c r="F472" s="278"/>
      <c r="G472" s="2192"/>
      <c r="H472" s="2200">
        <f t="shared" ref="H472:J475" si="113">H473</f>
        <v>7296.08</v>
      </c>
      <c r="I472" s="841">
        <f t="shared" si="113"/>
        <v>6962.0999999999995</v>
      </c>
      <c r="J472" s="276">
        <f t="shared" si="113"/>
        <v>6915</v>
      </c>
      <c r="K472" s="1858"/>
      <c r="L472" s="1858"/>
      <c r="M472" s="1858"/>
      <c r="N472" s="1268">
        <f t="shared" ref="N472:N475" si="114">N473</f>
        <v>7296.08</v>
      </c>
      <c r="O472" s="1858"/>
      <c r="P472" s="1858"/>
      <c r="Q472" s="1858"/>
      <c r="R472" s="1858"/>
      <c r="S472" s="1858"/>
      <c r="T472" s="1858"/>
      <c r="U472" s="2200">
        <f t="shared" ref="U472:U475" si="115">U473</f>
        <v>7296.08</v>
      </c>
    </row>
    <row r="473" spans="1:21" ht="32" hidden="1" thickBot="1" x14ac:dyDescent="0.3">
      <c r="A473" s="281"/>
      <c r="B473" s="307" t="s">
        <v>621</v>
      </c>
      <c r="C473" s="279"/>
      <c r="D473" s="278" t="s">
        <v>453</v>
      </c>
      <c r="E473" s="278" t="s">
        <v>456</v>
      </c>
      <c r="F473" s="278" t="s">
        <v>273</v>
      </c>
      <c r="G473" s="2192"/>
      <c r="H473" s="2200">
        <f t="shared" si="113"/>
        <v>7296.08</v>
      </c>
      <c r="I473" s="841">
        <f t="shared" si="113"/>
        <v>6962.0999999999995</v>
      </c>
      <c r="J473" s="276">
        <f t="shared" si="113"/>
        <v>6915</v>
      </c>
      <c r="K473" s="1858"/>
      <c r="L473" s="1858"/>
      <c r="M473" s="1858"/>
      <c r="N473" s="1268">
        <f t="shared" si="114"/>
        <v>7296.08</v>
      </c>
      <c r="O473" s="1858"/>
      <c r="P473" s="1858"/>
      <c r="Q473" s="1858"/>
      <c r="R473" s="1858"/>
      <c r="S473" s="1858"/>
      <c r="T473" s="1858"/>
      <c r="U473" s="2200">
        <f t="shared" si="115"/>
        <v>7296.08</v>
      </c>
    </row>
    <row r="474" spans="1:21" ht="30.5" hidden="1" thickBot="1" x14ac:dyDescent="0.3">
      <c r="A474" s="281"/>
      <c r="B474" s="310" t="s">
        <v>261</v>
      </c>
      <c r="C474" s="272"/>
      <c r="D474" s="271" t="s">
        <v>453</v>
      </c>
      <c r="E474" s="271" t="s">
        <v>456</v>
      </c>
      <c r="F474" s="271" t="s">
        <v>260</v>
      </c>
      <c r="G474" s="2188"/>
      <c r="H474" s="2196">
        <f t="shared" si="113"/>
        <v>7296.08</v>
      </c>
      <c r="I474" s="529">
        <f t="shared" si="113"/>
        <v>6962.0999999999995</v>
      </c>
      <c r="J474" s="269">
        <f t="shared" si="113"/>
        <v>6915</v>
      </c>
      <c r="K474" s="1858"/>
      <c r="L474" s="1858"/>
      <c r="M474" s="1858"/>
      <c r="N474" s="1264">
        <f t="shared" si="114"/>
        <v>7296.08</v>
      </c>
      <c r="O474" s="1858"/>
      <c r="P474" s="1858"/>
      <c r="Q474" s="1858"/>
      <c r="R474" s="1858"/>
      <c r="S474" s="1858"/>
      <c r="T474" s="1858"/>
      <c r="U474" s="2196">
        <f t="shared" si="115"/>
        <v>7296.08</v>
      </c>
    </row>
    <row r="475" spans="1:21" ht="13" hidden="1" thickBot="1" x14ac:dyDescent="0.3">
      <c r="A475" s="281"/>
      <c r="B475" s="274" t="s">
        <v>259</v>
      </c>
      <c r="C475" s="272"/>
      <c r="D475" s="271" t="s">
        <v>453</v>
      </c>
      <c r="E475" s="271" t="s">
        <v>456</v>
      </c>
      <c r="F475" s="271" t="s">
        <v>258</v>
      </c>
      <c r="G475" s="2188"/>
      <c r="H475" s="2196">
        <f t="shared" si="113"/>
        <v>7296.08</v>
      </c>
      <c r="I475" s="529">
        <f t="shared" si="113"/>
        <v>6962.0999999999995</v>
      </c>
      <c r="J475" s="269">
        <f t="shared" si="113"/>
        <v>6915</v>
      </c>
      <c r="K475" s="1858"/>
      <c r="L475" s="1858"/>
      <c r="M475" s="1858"/>
      <c r="N475" s="1264">
        <f t="shared" si="114"/>
        <v>7296.08</v>
      </c>
      <c r="O475" s="1858"/>
      <c r="P475" s="1858"/>
      <c r="Q475" s="1858"/>
      <c r="R475" s="1858"/>
      <c r="S475" s="1858"/>
      <c r="T475" s="1858"/>
      <c r="U475" s="2196">
        <f t="shared" si="115"/>
        <v>7296.08</v>
      </c>
    </row>
    <row r="476" spans="1:21" ht="13" hidden="1" thickBot="1" x14ac:dyDescent="0.3">
      <c r="A476" s="281"/>
      <c r="B476" s="285" t="s">
        <v>351</v>
      </c>
      <c r="C476" s="272"/>
      <c r="D476" s="271" t="s">
        <v>453</v>
      </c>
      <c r="E476" s="271" t="s">
        <v>456</v>
      </c>
      <c r="F476" s="271" t="s">
        <v>254</v>
      </c>
      <c r="G476" s="2188"/>
      <c r="H476" s="2196">
        <f>H477+H478+H479</f>
        <v>7296.08</v>
      </c>
      <c r="I476" s="529">
        <f>I477+I478+I479</f>
        <v>6962.0999999999995</v>
      </c>
      <c r="J476" s="269">
        <f>J477+J478+J479</f>
        <v>6915</v>
      </c>
      <c r="K476" s="1858"/>
      <c r="L476" s="1858"/>
      <c r="M476" s="1858"/>
      <c r="N476" s="1264">
        <f>N477+N478+N479</f>
        <v>7296.08</v>
      </c>
      <c r="O476" s="1858"/>
      <c r="P476" s="1858"/>
      <c r="Q476" s="1858"/>
      <c r="R476" s="1858"/>
      <c r="S476" s="1858"/>
      <c r="T476" s="1858"/>
      <c r="U476" s="2196">
        <f>U477+U478+U479</f>
        <v>7296.08</v>
      </c>
    </row>
    <row r="477" spans="1:21" ht="13" hidden="1" thickBot="1" x14ac:dyDescent="0.3">
      <c r="A477" s="273"/>
      <c r="B477" s="284" t="s">
        <v>458</v>
      </c>
      <c r="C477" s="283"/>
      <c r="D477" s="271" t="s">
        <v>453</v>
      </c>
      <c r="E477" s="271" t="s">
        <v>456</v>
      </c>
      <c r="F477" s="271" t="s">
        <v>254</v>
      </c>
      <c r="G477" s="2188" t="s">
        <v>255</v>
      </c>
      <c r="H477" s="2196">
        <f>4510.863-660.6</f>
        <v>3850.2630000000004</v>
      </c>
      <c r="I477" s="529">
        <v>4886.9669999999996</v>
      </c>
      <c r="J477" s="269">
        <v>5375.0079999999998</v>
      </c>
      <c r="K477" s="1858"/>
      <c r="L477" s="1858"/>
      <c r="M477" s="1858"/>
      <c r="N477" s="1264">
        <f>4510.863-660.6</f>
        <v>3850.2630000000004</v>
      </c>
      <c r="O477" s="1858"/>
      <c r="P477" s="1858"/>
      <c r="Q477" s="1858"/>
      <c r="R477" s="1858"/>
      <c r="S477" s="1858"/>
      <c r="T477" s="1858"/>
      <c r="U477" s="2196">
        <f>4510.863-660.6</f>
        <v>3850.2630000000004</v>
      </c>
    </row>
    <row r="478" spans="1:21" ht="20.5" hidden="1" thickBot="1" x14ac:dyDescent="0.3">
      <c r="A478" s="273"/>
      <c r="B478" s="284" t="s">
        <v>454</v>
      </c>
      <c r="C478" s="283"/>
      <c r="D478" s="271" t="s">
        <v>453</v>
      </c>
      <c r="E478" s="271" t="s">
        <v>456</v>
      </c>
      <c r="F478" s="271" t="s">
        <v>254</v>
      </c>
      <c r="G478" s="2188" t="s">
        <v>1</v>
      </c>
      <c r="H478" s="2196">
        <f>1564.263+1880.841</f>
        <v>3445.1039999999998</v>
      </c>
      <c r="I478" s="529">
        <v>2074.1329999999998</v>
      </c>
      <c r="J478" s="269">
        <v>1538.992</v>
      </c>
      <c r="K478" s="1858"/>
      <c r="L478" s="1858"/>
      <c r="M478" s="1858"/>
      <c r="N478" s="1264">
        <f>1564.263+1880.841</f>
        <v>3445.1039999999998</v>
      </c>
      <c r="O478" s="1858"/>
      <c r="P478" s="1858"/>
      <c r="Q478" s="1858"/>
      <c r="R478" s="1858"/>
      <c r="S478" s="1858"/>
      <c r="T478" s="1858"/>
      <c r="U478" s="2196">
        <f>1564.263+1880.841</f>
        <v>3445.1039999999998</v>
      </c>
    </row>
    <row r="479" spans="1:21" ht="13" hidden="1" thickBot="1" x14ac:dyDescent="0.3">
      <c r="A479" s="273"/>
      <c r="B479" s="284" t="s">
        <v>457</v>
      </c>
      <c r="C479" s="283"/>
      <c r="D479" s="271" t="s">
        <v>453</v>
      </c>
      <c r="E479" s="271" t="s">
        <v>456</v>
      </c>
      <c r="F479" s="271" t="s">
        <v>254</v>
      </c>
      <c r="G479" s="2188" t="s">
        <v>91</v>
      </c>
      <c r="H479" s="2196">
        <v>0.71299999999999997</v>
      </c>
      <c r="I479" s="529">
        <v>1</v>
      </c>
      <c r="J479" s="269">
        <v>1</v>
      </c>
      <c r="K479" s="1858"/>
      <c r="L479" s="1858"/>
      <c r="M479" s="1858"/>
      <c r="N479" s="1264">
        <v>0.71299999999999997</v>
      </c>
      <c r="O479" s="1858"/>
      <c r="P479" s="1858"/>
      <c r="Q479" s="1858"/>
      <c r="R479" s="1858"/>
      <c r="S479" s="1858"/>
      <c r="T479" s="1858"/>
      <c r="U479" s="2196">
        <v>0.71299999999999997</v>
      </c>
    </row>
    <row r="480" spans="1:21" ht="21.5" hidden="1" thickBot="1" x14ac:dyDescent="0.3">
      <c r="A480" s="732"/>
      <c r="B480" s="752" t="s">
        <v>499</v>
      </c>
      <c r="C480" s="408"/>
      <c r="D480" s="408" t="s">
        <v>453</v>
      </c>
      <c r="E480" s="408" t="s">
        <v>456</v>
      </c>
      <c r="F480" s="408" t="s">
        <v>89</v>
      </c>
      <c r="G480" s="1662"/>
      <c r="H480" s="1683">
        <f>H481</f>
        <v>660.6</v>
      </c>
      <c r="I480" s="529"/>
      <c r="J480" s="269"/>
      <c r="K480" s="1858"/>
      <c r="L480" s="1858"/>
      <c r="M480" s="1858"/>
      <c r="N480" s="1893">
        <f>N481</f>
        <v>660.6</v>
      </c>
      <c r="O480" s="1858"/>
      <c r="P480" s="1858"/>
      <c r="Q480" s="1858"/>
      <c r="R480" s="1858"/>
      <c r="S480" s="1858"/>
      <c r="T480" s="1858"/>
      <c r="U480" s="1683">
        <f>U481</f>
        <v>660.6</v>
      </c>
    </row>
    <row r="481" spans="1:21" ht="13" hidden="1" thickBot="1" x14ac:dyDescent="0.3">
      <c r="A481" s="732"/>
      <c r="B481" s="753" t="s">
        <v>109</v>
      </c>
      <c r="C481" s="409"/>
      <c r="D481" s="409" t="s">
        <v>453</v>
      </c>
      <c r="E481" s="409" t="s">
        <v>456</v>
      </c>
      <c r="F481" s="409" t="s">
        <v>84</v>
      </c>
      <c r="G481" s="1662"/>
      <c r="H481" s="1682">
        <f>H482</f>
        <v>660.6</v>
      </c>
      <c r="I481" s="529"/>
      <c r="J481" s="269"/>
      <c r="K481" s="1858"/>
      <c r="L481" s="1858"/>
      <c r="M481" s="1858"/>
      <c r="N481" s="1878">
        <f>N482</f>
        <v>660.6</v>
      </c>
      <c r="O481" s="1858"/>
      <c r="P481" s="1858"/>
      <c r="Q481" s="1858"/>
      <c r="R481" s="1858"/>
      <c r="S481" s="1858"/>
      <c r="T481" s="1858"/>
      <c r="U481" s="1682">
        <f>U482</f>
        <v>660.6</v>
      </c>
    </row>
    <row r="482" spans="1:21" ht="13" hidden="1" thickBot="1" x14ac:dyDescent="0.3">
      <c r="A482" s="732"/>
      <c r="B482" s="753" t="s">
        <v>109</v>
      </c>
      <c r="C482" s="409"/>
      <c r="D482" s="409" t="s">
        <v>453</v>
      </c>
      <c r="E482" s="409" t="s">
        <v>456</v>
      </c>
      <c r="F482" s="409" t="s">
        <v>82</v>
      </c>
      <c r="G482" s="1662"/>
      <c r="H482" s="1682">
        <f>H483</f>
        <v>660.6</v>
      </c>
      <c r="I482" s="529"/>
      <c r="J482" s="269"/>
      <c r="K482" s="1858"/>
      <c r="L482" s="1858"/>
      <c r="M482" s="1858"/>
      <c r="N482" s="1878">
        <f>N483</f>
        <v>660.6</v>
      </c>
      <c r="O482" s="1858"/>
      <c r="P482" s="1858"/>
      <c r="Q482" s="1858"/>
      <c r="R482" s="1858"/>
      <c r="S482" s="1858"/>
      <c r="T482" s="1858"/>
      <c r="U482" s="1682">
        <f>U483</f>
        <v>660.6</v>
      </c>
    </row>
    <row r="483" spans="1:21" ht="13" hidden="1" thickBot="1" x14ac:dyDescent="0.3">
      <c r="A483" s="732"/>
      <c r="B483" s="1894" t="s">
        <v>830</v>
      </c>
      <c r="C483" s="409"/>
      <c r="D483" s="409" t="s">
        <v>453</v>
      </c>
      <c r="E483" s="409" t="s">
        <v>456</v>
      </c>
      <c r="F483" s="409" t="s">
        <v>831</v>
      </c>
      <c r="G483" s="1662"/>
      <c r="H483" s="1682">
        <f>H484</f>
        <v>660.6</v>
      </c>
      <c r="I483" s="529"/>
      <c r="J483" s="269"/>
      <c r="K483" s="1858"/>
      <c r="L483" s="1858"/>
      <c r="M483" s="1858"/>
      <c r="N483" s="1878">
        <f>N484</f>
        <v>660.6</v>
      </c>
      <c r="O483" s="1858"/>
      <c r="P483" s="1858"/>
      <c r="Q483" s="1858"/>
      <c r="R483" s="1858"/>
      <c r="S483" s="1858"/>
      <c r="T483" s="1858"/>
      <c r="U483" s="1682">
        <f>U484</f>
        <v>660.6</v>
      </c>
    </row>
    <row r="484" spans="1:21" ht="13.5" hidden="1" thickBot="1" x14ac:dyDescent="0.3">
      <c r="A484" s="732"/>
      <c r="B484" s="754" t="s">
        <v>256</v>
      </c>
      <c r="C484" s="409"/>
      <c r="D484" s="409" t="s">
        <v>453</v>
      </c>
      <c r="E484" s="409" t="s">
        <v>456</v>
      </c>
      <c r="F484" s="409" t="s">
        <v>831</v>
      </c>
      <c r="G484" s="1662" t="s">
        <v>255</v>
      </c>
      <c r="H484" s="1682">
        <v>660.6</v>
      </c>
      <c r="I484" s="529"/>
      <c r="J484" s="269"/>
      <c r="K484" s="1858"/>
      <c r="L484" s="1858"/>
      <c r="M484" s="1858"/>
      <c r="N484" s="1878">
        <v>660.6</v>
      </c>
      <c r="O484" s="1858"/>
      <c r="P484" s="1858"/>
      <c r="Q484" s="1858"/>
      <c r="R484" s="1858"/>
      <c r="S484" s="1858"/>
      <c r="T484" s="1858"/>
      <c r="U484" s="1682">
        <v>660.6</v>
      </c>
    </row>
    <row r="485" spans="1:21" ht="13" hidden="1" thickBot="1" x14ac:dyDescent="0.3">
      <c r="A485" s="751"/>
      <c r="B485" s="282" t="s">
        <v>244</v>
      </c>
      <c r="C485" s="279"/>
      <c r="D485" s="278" t="s">
        <v>453</v>
      </c>
      <c r="E485" s="278" t="s">
        <v>452</v>
      </c>
      <c r="F485" s="278"/>
      <c r="G485" s="2192"/>
      <c r="H485" s="2200">
        <f t="shared" ref="H485:J486" si="116">H486</f>
        <v>5349.2529999999997</v>
      </c>
      <c r="I485" s="841">
        <f t="shared" si="116"/>
        <v>1250.5</v>
      </c>
      <c r="J485" s="276">
        <f t="shared" si="116"/>
        <v>1348</v>
      </c>
      <c r="K485" s="1858"/>
      <c r="L485" s="1858"/>
      <c r="M485" s="1858"/>
      <c r="N485" s="1268">
        <f t="shared" ref="N485:N486" si="117">N486</f>
        <v>5498.201</v>
      </c>
      <c r="O485" s="1858"/>
      <c r="P485" s="1858"/>
      <c r="Q485" s="1858"/>
      <c r="R485" s="1858"/>
      <c r="S485" s="1858"/>
      <c r="T485" s="1858"/>
      <c r="U485" s="2200">
        <f t="shared" ref="U485:U486" si="118">U486</f>
        <v>5152.0720000000001</v>
      </c>
    </row>
    <row r="486" spans="1:21" ht="32" hidden="1" thickBot="1" x14ac:dyDescent="0.3">
      <c r="A486" s="281"/>
      <c r="B486" s="307" t="s">
        <v>621</v>
      </c>
      <c r="C486" s="279"/>
      <c r="D486" s="278" t="s">
        <v>453</v>
      </c>
      <c r="E486" s="278" t="s">
        <v>452</v>
      </c>
      <c r="F486" s="278" t="s">
        <v>273</v>
      </c>
      <c r="G486" s="2192"/>
      <c r="H486" s="2200">
        <f t="shared" si="116"/>
        <v>5349.2529999999997</v>
      </c>
      <c r="I486" s="841">
        <f t="shared" si="116"/>
        <v>1250.5</v>
      </c>
      <c r="J486" s="276">
        <f t="shared" si="116"/>
        <v>1348</v>
      </c>
      <c r="K486" s="1858"/>
      <c r="L486" s="1858"/>
      <c r="M486" s="1858"/>
      <c r="N486" s="1268">
        <f t="shared" si="117"/>
        <v>5498.201</v>
      </c>
      <c r="O486" s="1858"/>
      <c r="P486" s="1858"/>
      <c r="Q486" s="1858"/>
      <c r="R486" s="1858"/>
      <c r="S486" s="1858"/>
      <c r="T486" s="1858"/>
      <c r="U486" s="2200">
        <f t="shared" si="118"/>
        <v>5152.0720000000001</v>
      </c>
    </row>
    <row r="487" spans="1:21" ht="13" hidden="1" thickBot="1" x14ac:dyDescent="0.3">
      <c r="A487" s="273"/>
      <c r="B487" s="310" t="s">
        <v>836</v>
      </c>
      <c r="C487" s="272"/>
      <c r="D487" s="271" t="s">
        <v>453</v>
      </c>
      <c r="E487" s="271" t="s">
        <v>452</v>
      </c>
      <c r="F487" s="271" t="s">
        <v>251</v>
      </c>
      <c r="G487" s="2188"/>
      <c r="H487" s="2196">
        <f>H488+H491</f>
        <v>5349.2529999999997</v>
      </c>
      <c r="I487" s="529">
        <f>I488+I491</f>
        <v>1250.5</v>
      </c>
      <c r="J487" s="269">
        <f>J488+J491</f>
        <v>1348</v>
      </c>
      <c r="K487" s="1858"/>
      <c r="L487" s="1858"/>
      <c r="M487" s="1858"/>
      <c r="N487" s="1264">
        <f>N488+N491</f>
        <v>5498.201</v>
      </c>
      <c r="O487" s="1858"/>
      <c r="P487" s="1858"/>
      <c r="Q487" s="1858"/>
      <c r="R487" s="1858"/>
      <c r="S487" s="1858"/>
      <c r="T487" s="1858"/>
      <c r="U487" s="2196">
        <f>U488+U491</f>
        <v>5152.0720000000001</v>
      </c>
    </row>
    <row r="488" spans="1:21" ht="13" hidden="1" thickBot="1" x14ac:dyDescent="0.3">
      <c r="A488" s="273"/>
      <c r="B488" s="274" t="s">
        <v>250</v>
      </c>
      <c r="C488" s="272"/>
      <c r="D488" s="271" t="s">
        <v>453</v>
      </c>
      <c r="E488" s="271" t="s">
        <v>452</v>
      </c>
      <c r="F488" s="271" t="s">
        <v>249</v>
      </c>
      <c r="G488" s="2188"/>
      <c r="H488" s="2196">
        <f t="shared" ref="H488:J489" si="119">H489</f>
        <v>1650.46</v>
      </c>
      <c r="I488" s="529">
        <f t="shared" si="119"/>
        <v>1250.5</v>
      </c>
      <c r="J488" s="269">
        <f t="shared" si="119"/>
        <v>1348</v>
      </c>
      <c r="K488" s="1858"/>
      <c r="L488" s="1858"/>
      <c r="M488" s="1858"/>
      <c r="N488" s="1264">
        <f t="shared" ref="N488:N489" si="120">N489</f>
        <v>1650.46</v>
      </c>
      <c r="O488" s="1858"/>
      <c r="P488" s="1858"/>
      <c r="Q488" s="1858"/>
      <c r="R488" s="1858"/>
      <c r="S488" s="1858"/>
      <c r="T488" s="1858"/>
      <c r="U488" s="2196">
        <f t="shared" ref="U488:U489" si="121">U489</f>
        <v>1650.46</v>
      </c>
    </row>
    <row r="489" spans="1:21" ht="13.5" hidden="1" thickBot="1" x14ac:dyDescent="0.3">
      <c r="A489" s="273"/>
      <c r="B489" s="90" t="s">
        <v>248</v>
      </c>
      <c r="C489" s="272"/>
      <c r="D489" s="271" t="s">
        <v>453</v>
      </c>
      <c r="E489" s="271" t="s">
        <v>452</v>
      </c>
      <c r="F489" s="271" t="s">
        <v>243</v>
      </c>
      <c r="G489" s="2188"/>
      <c r="H489" s="2196">
        <f t="shared" si="119"/>
        <v>1650.46</v>
      </c>
      <c r="I489" s="529">
        <f t="shared" si="119"/>
        <v>1250.5</v>
      </c>
      <c r="J489" s="269">
        <f t="shared" si="119"/>
        <v>1348</v>
      </c>
      <c r="K489" s="1858"/>
      <c r="L489" s="1858"/>
      <c r="M489" s="1858"/>
      <c r="N489" s="1264">
        <f t="shared" si="120"/>
        <v>1650.46</v>
      </c>
      <c r="O489" s="1858"/>
      <c r="P489" s="1858"/>
      <c r="Q489" s="1858"/>
      <c r="R489" s="1858"/>
      <c r="S489" s="1858"/>
      <c r="T489" s="1858"/>
      <c r="U489" s="2196">
        <f t="shared" si="121"/>
        <v>1650.46</v>
      </c>
    </row>
    <row r="490" spans="1:21" ht="20.5" hidden="1" thickBot="1" x14ac:dyDescent="0.3">
      <c r="A490" s="2184"/>
      <c r="B490" s="303" t="s">
        <v>454</v>
      </c>
      <c r="C490" s="302"/>
      <c r="D490" s="301" t="s">
        <v>453</v>
      </c>
      <c r="E490" s="301" t="s">
        <v>452</v>
      </c>
      <c r="F490" s="301" t="s">
        <v>243</v>
      </c>
      <c r="G490" s="2189" t="s">
        <v>1</v>
      </c>
      <c r="H490" s="2197">
        <v>1650.46</v>
      </c>
      <c r="I490" s="2193">
        <v>1250.5</v>
      </c>
      <c r="J490" s="299">
        <v>1348</v>
      </c>
      <c r="K490" s="1858"/>
      <c r="L490" s="1858"/>
      <c r="M490" s="1858"/>
      <c r="N490" s="1265">
        <v>1650.46</v>
      </c>
      <c r="O490" s="1858"/>
      <c r="P490" s="1858"/>
      <c r="Q490" s="1858"/>
      <c r="R490" s="1858"/>
      <c r="S490" s="1858"/>
      <c r="T490" s="1858"/>
      <c r="U490" s="2197">
        <v>1650.46</v>
      </c>
    </row>
    <row r="491" spans="1:21" ht="23.5" thickBot="1" x14ac:dyDescent="0.3">
      <c r="A491" s="1168">
        <v>2</v>
      </c>
      <c r="B491" s="1171" t="s">
        <v>1038</v>
      </c>
      <c r="C491" s="1161" t="s">
        <v>1039</v>
      </c>
      <c r="D491" s="1161"/>
      <c r="E491" s="1161"/>
      <c r="F491" s="1161"/>
      <c r="G491" s="1658"/>
      <c r="H491" s="1675">
        <f>H492+H586+H612+H661+H754+H764++H787+H805+H578+H830</f>
        <v>3698.7929999999997</v>
      </c>
      <c r="I491" s="848">
        <f>I492+I561+I587+I636+I710+I721+I760+I775+I553</f>
        <v>0</v>
      </c>
      <c r="J491" s="293">
        <f>J492+J561+J587+J636+J710+J721+J760+J775+J553</f>
        <v>0</v>
      </c>
      <c r="K491" s="2185"/>
      <c r="L491" s="2185"/>
      <c r="M491" s="2185"/>
      <c r="N491" s="1170">
        <f>N492+N586+N612+N661+N754+N764++N787+N805+N578+N830</f>
        <v>3847.741</v>
      </c>
      <c r="O491" s="2185"/>
      <c r="P491" s="2185"/>
      <c r="Q491" s="2185"/>
      <c r="R491" s="2185"/>
      <c r="S491" s="2185"/>
      <c r="T491" s="2185"/>
      <c r="U491" s="1675">
        <f>U492+U586+U612+U661+U754+U764++U787+U805+U578+U830</f>
        <v>3501.6120000000001</v>
      </c>
    </row>
    <row r="492" spans="1:21" x14ac:dyDescent="0.25">
      <c r="A492" s="145"/>
      <c r="B492" s="1173" t="s">
        <v>431</v>
      </c>
      <c r="C492" s="1174"/>
      <c r="D492" s="1175" t="s">
        <v>456</v>
      </c>
      <c r="E492" s="1175" t="s">
        <v>459</v>
      </c>
      <c r="F492" s="1175"/>
      <c r="G492" s="1660"/>
      <c r="H492" s="1676">
        <f>H499+H506</f>
        <v>3698.7929999999997</v>
      </c>
      <c r="I492" s="849">
        <f>I493+I506+I523</f>
        <v>0</v>
      </c>
      <c r="J492" s="287">
        <f>J493+J506+J523</f>
        <v>0</v>
      </c>
      <c r="K492" s="1862">
        <f>K505+K512+K514+K517+K530+K531+K532+K534+K536+K542+K548+K560+K564+K565+K566+K567</f>
        <v>5</v>
      </c>
      <c r="L492" s="1858"/>
      <c r="M492" s="1858"/>
      <c r="N492" s="1176">
        <f>N499+N506</f>
        <v>3847.741</v>
      </c>
      <c r="O492" s="1858"/>
      <c r="P492" s="1858"/>
      <c r="Q492" s="1858"/>
      <c r="R492" s="1858"/>
      <c r="S492" s="1858"/>
      <c r="T492" s="1858"/>
      <c r="U492" s="1676">
        <f>U499+U506</f>
        <v>3501.6120000000001</v>
      </c>
    </row>
    <row r="493" spans="1:21" ht="21" hidden="1" x14ac:dyDescent="0.25">
      <c r="A493" s="32"/>
      <c r="B493" s="752" t="s">
        <v>600</v>
      </c>
      <c r="C493" s="1177"/>
      <c r="D493" s="408" t="s">
        <v>456</v>
      </c>
      <c r="E493" s="408" t="s">
        <v>488</v>
      </c>
      <c r="F493" s="408"/>
      <c r="G493" s="1661"/>
      <c r="H493" s="1677"/>
      <c r="I493" s="850">
        <f t="shared" ref="I493:J497" si="122">I494</f>
        <v>0</v>
      </c>
      <c r="J493" s="355">
        <f t="shared" si="122"/>
        <v>0</v>
      </c>
      <c r="K493" s="1858"/>
      <c r="L493" s="1858"/>
      <c r="M493" s="1858"/>
      <c r="N493" s="1178"/>
      <c r="O493" s="1858"/>
      <c r="P493" s="1858"/>
      <c r="Q493" s="1858"/>
      <c r="R493" s="1858"/>
      <c r="S493" s="1858"/>
      <c r="T493" s="1858"/>
      <c r="U493" s="1677"/>
    </row>
    <row r="494" spans="1:21" ht="21" hidden="1" x14ac:dyDescent="0.25">
      <c r="A494" s="32"/>
      <c r="B494" s="753" t="s">
        <v>599</v>
      </c>
      <c r="C494" s="1180"/>
      <c r="D494" s="409" t="s">
        <v>456</v>
      </c>
      <c r="E494" s="409" t="s">
        <v>488</v>
      </c>
      <c r="F494" s="409" t="s">
        <v>157</v>
      </c>
      <c r="G494" s="1662"/>
      <c r="H494" s="1678"/>
      <c r="I494" s="851">
        <f t="shared" si="122"/>
        <v>0</v>
      </c>
      <c r="J494" s="353">
        <f t="shared" si="122"/>
        <v>0</v>
      </c>
      <c r="K494" s="1858"/>
      <c r="L494" s="1858"/>
      <c r="M494" s="1858"/>
      <c r="N494" s="1181"/>
      <c r="O494" s="1858"/>
      <c r="P494" s="1858"/>
      <c r="Q494" s="1858"/>
      <c r="R494" s="1858"/>
      <c r="S494" s="1858"/>
      <c r="T494" s="1858"/>
      <c r="U494" s="1678"/>
    </row>
    <row r="495" spans="1:21" ht="21" hidden="1" x14ac:dyDescent="0.25">
      <c r="A495" s="32"/>
      <c r="B495" s="753" t="s">
        <v>596</v>
      </c>
      <c r="C495" s="1180"/>
      <c r="D495" s="409" t="s">
        <v>456</v>
      </c>
      <c r="E495" s="409" t="s">
        <v>488</v>
      </c>
      <c r="F495" s="409" t="s">
        <v>598</v>
      </c>
      <c r="G495" s="1662"/>
      <c r="H495" s="1678"/>
      <c r="I495" s="851">
        <f t="shared" si="122"/>
        <v>0</v>
      </c>
      <c r="J495" s="353">
        <f t="shared" si="122"/>
        <v>0</v>
      </c>
      <c r="K495" s="1858"/>
      <c r="L495" s="1858"/>
      <c r="M495" s="1858"/>
      <c r="N495" s="1181"/>
      <c r="O495" s="1858"/>
      <c r="P495" s="1858"/>
      <c r="Q495" s="1858"/>
      <c r="R495" s="1858"/>
      <c r="S495" s="1858"/>
      <c r="T495" s="1858"/>
      <c r="U495" s="1678"/>
    </row>
    <row r="496" spans="1:21" hidden="1" x14ac:dyDescent="0.25">
      <c r="A496" s="32"/>
      <c r="B496" s="753" t="s">
        <v>582</v>
      </c>
      <c r="C496" s="1180"/>
      <c r="D496" s="409" t="s">
        <v>595</v>
      </c>
      <c r="E496" s="409" t="s">
        <v>594</v>
      </c>
      <c r="F496" s="409" t="s">
        <v>597</v>
      </c>
      <c r="G496" s="1662"/>
      <c r="H496" s="1678"/>
      <c r="I496" s="851">
        <f t="shared" si="122"/>
        <v>0</v>
      </c>
      <c r="J496" s="353">
        <f t="shared" si="122"/>
        <v>0</v>
      </c>
      <c r="K496" s="1858"/>
      <c r="L496" s="1858"/>
      <c r="M496" s="1858"/>
      <c r="N496" s="1181"/>
      <c r="O496" s="1858"/>
      <c r="P496" s="1858"/>
      <c r="Q496" s="1858"/>
      <c r="R496" s="1858"/>
      <c r="S496" s="1858"/>
      <c r="T496" s="1858"/>
      <c r="U496" s="1678"/>
    </row>
    <row r="497" spans="1:21" ht="21" hidden="1" x14ac:dyDescent="0.25">
      <c r="A497" s="32"/>
      <c r="B497" s="753" t="s">
        <v>596</v>
      </c>
      <c r="C497" s="1180"/>
      <c r="D497" s="409" t="s">
        <v>595</v>
      </c>
      <c r="E497" s="409" t="s">
        <v>594</v>
      </c>
      <c r="F497" s="409" t="s">
        <v>593</v>
      </c>
      <c r="G497" s="1662"/>
      <c r="H497" s="1678"/>
      <c r="I497" s="851">
        <f t="shared" si="122"/>
        <v>0</v>
      </c>
      <c r="J497" s="353">
        <f t="shared" si="122"/>
        <v>0</v>
      </c>
      <c r="K497" s="1858"/>
      <c r="L497" s="1858"/>
      <c r="M497" s="1858"/>
      <c r="N497" s="1181"/>
      <c r="O497" s="1858"/>
      <c r="P497" s="1858"/>
      <c r="Q497" s="1858"/>
      <c r="R497" s="1858"/>
      <c r="S497" s="1858"/>
      <c r="T497" s="1858"/>
      <c r="U497" s="1678"/>
    </row>
    <row r="498" spans="1:21" hidden="1" x14ac:dyDescent="0.25">
      <c r="A498" s="32"/>
      <c r="B498" s="1182" t="s">
        <v>571</v>
      </c>
      <c r="C498" s="1183"/>
      <c r="D498" s="409" t="s">
        <v>456</v>
      </c>
      <c r="E498" s="409" t="s">
        <v>488</v>
      </c>
      <c r="F498" s="409" t="s">
        <v>593</v>
      </c>
      <c r="G498" s="1662" t="s">
        <v>5</v>
      </c>
      <c r="H498" s="1678"/>
      <c r="I498" s="851"/>
      <c r="J498" s="353"/>
      <c r="K498" s="1858"/>
      <c r="L498" s="1858"/>
      <c r="M498" s="1858"/>
      <c r="N498" s="1181"/>
      <c r="O498" s="1858"/>
      <c r="P498" s="1858"/>
      <c r="Q498" s="1858"/>
      <c r="R498" s="1858"/>
      <c r="S498" s="1858"/>
      <c r="T498" s="1858"/>
      <c r="U498" s="1678"/>
    </row>
    <row r="499" spans="1:21" ht="23" x14ac:dyDescent="0.25">
      <c r="A499" s="32"/>
      <c r="B499" s="1184" t="s">
        <v>600</v>
      </c>
      <c r="C499" s="1183"/>
      <c r="D499" s="408" t="s">
        <v>456</v>
      </c>
      <c r="E499" s="408" t="s">
        <v>488</v>
      </c>
      <c r="F499" s="409"/>
      <c r="G499" s="1662"/>
      <c r="H499" s="1677">
        <f>H500</f>
        <v>1761.778</v>
      </c>
      <c r="I499" s="851"/>
      <c r="J499" s="353"/>
      <c r="K499" s="1858">
        <f>K505+K512+K514+K517</f>
        <v>5</v>
      </c>
      <c r="L499" s="1858">
        <f>K499-3579.885</f>
        <v>-3574.8850000000002</v>
      </c>
      <c r="M499" s="1858"/>
      <c r="N499" s="1178">
        <f>N500</f>
        <v>1832.249</v>
      </c>
      <c r="O499" s="1858"/>
      <c r="P499" s="1858"/>
      <c r="Q499" s="1858"/>
      <c r="R499" s="1858"/>
      <c r="S499" s="1858"/>
      <c r="T499" s="1858"/>
      <c r="U499" s="1677">
        <f>U500</f>
        <v>1905.539</v>
      </c>
    </row>
    <row r="500" spans="1:21" ht="21" x14ac:dyDescent="0.25">
      <c r="A500" s="32"/>
      <c r="B500" s="753" t="s">
        <v>866</v>
      </c>
      <c r="C500" s="1183"/>
      <c r="D500" s="409" t="s">
        <v>456</v>
      </c>
      <c r="E500" s="409" t="s">
        <v>488</v>
      </c>
      <c r="F500" s="409" t="s">
        <v>157</v>
      </c>
      <c r="G500" s="1662"/>
      <c r="H500" s="1678">
        <f>H501</f>
        <v>1761.778</v>
      </c>
      <c r="I500" s="851"/>
      <c r="J500" s="353"/>
      <c r="K500" s="1858"/>
      <c r="L500" s="1858"/>
      <c r="M500" s="1858"/>
      <c r="N500" s="1181">
        <f>N501</f>
        <v>1832.249</v>
      </c>
      <c r="O500" s="1858"/>
      <c r="P500" s="1858"/>
      <c r="Q500" s="1858"/>
      <c r="R500" s="1858"/>
      <c r="S500" s="1858"/>
      <c r="T500" s="1858"/>
      <c r="U500" s="1678">
        <f>U501</f>
        <v>1905.539</v>
      </c>
    </row>
    <row r="501" spans="1:21" ht="21" x14ac:dyDescent="0.25">
      <c r="A501" s="32"/>
      <c r="B501" s="753" t="s">
        <v>867</v>
      </c>
      <c r="C501" s="1183"/>
      <c r="D501" s="409" t="s">
        <v>456</v>
      </c>
      <c r="E501" s="409" t="s">
        <v>488</v>
      </c>
      <c r="F501" s="409" t="s">
        <v>598</v>
      </c>
      <c r="G501" s="1662"/>
      <c r="H501" s="1678">
        <f>H502</f>
        <v>1761.778</v>
      </c>
      <c r="I501" s="851"/>
      <c r="J501" s="353"/>
      <c r="K501" s="1858"/>
      <c r="L501" s="1858"/>
      <c r="M501" s="1858"/>
      <c r="N501" s="1181">
        <f>N502</f>
        <v>1832.249</v>
      </c>
      <c r="O501" s="1858"/>
      <c r="P501" s="1858"/>
      <c r="Q501" s="1858"/>
      <c r="R501" s="1858"/>
      <c r="S501" s="1858"/>
      <c r="T501" s="1858"/>
      <c r="U501" s="1678">
        <f>U502</f>
        <v>1905.539</v>
      </c>
    </row>
    <row r="502" spans="1:21" x14ac:dyDescent="0.25">
      <c r="A502" s="32"/>
      <c r="B502" s="753" t="s">
        <v>582</v>
      </c>
      <c r="C502" s="1183"/>
      <c r="D502" s="409" t="s">
        <v>456</v>
      </c>
      <c r="E502" s="409" t="s">
        <v>488</v>
      </c>
      <c r="F502" s="409" t="s">
        <v>597</v>
      </c>
      <c r="G502" s="1662"/>
      <c r="H502" s="1678">
        <f>H503</f>
        <v>1761.778</v>
      </c>
      <c r="I502" s="851"/>
      <c r="J502" s="353"/>
      <c r="K502" s="1858"/>
      <c r="L502" s="1858"/>
      <c r="M502" s="1858"/>
      <c r="N502" s="1181">
        <f>N503</f>
        <v>1832.249</v>
      </c>
      <c r="O502" s="1858"/>
      <c r="P502" s="1858"/>
      <c r="Q502" s="1858"/>
      <c r="R502" s="1858"/>
      <c r="S502" s="1858"/>
      <c r="T502" s="1858"/>
      <c r="U502" s="1678">
        <f>U503</f>
        <v>1905.539</v>
      </c>
    </row>
    <row r="503" spans="1:21" ht="21" x14ac:dyDescent="0.25">
      <c r="A503" s="32"/>
      <c r="B503" s="753" t="s">
        <v>867</v>
      </c>
      <c r="C503" s="1183"/>
      <c r="D503" s="409" t="s">
        <v>456</v>
      </c>
      <c r="E503" s="409" t="s">
        <v>488</v>
      </c>
      <c r="F503" s="409" t="s">
        <v>593</v>
      </c>
      <c r="G503" s="1662"/>
      <c r="H503" s="1678">
        <f>H505</f>
        <v>1761.778</v>
      </c>
      <c r="I503" s="851"/>
      <c r="J503" s="353"/>
      <c r="K503" s="1858"/>
      <c r="L503" s="1858"/>
      <c r="M503" s="1858"/>
      <c r="N503" s="1181">
        <f>N505</f>
        <v>1832.249</v>
      </c>
      <c r="O503" s="1858"/>
      <c r="P503" s="1858"/>
      <c r="Q503" s="1858"/>
      <c r="R503" s="1858"/>
      <c r="S503" s="1858"/>
      <c r="T503" s="1858"/>
      <c r="U503" s="1678">
        <f>U505</f>
        <v>1905.539</v>
      </c>
    </row>
    <row r="504" spans="1:21" ht="52" x14ac:dyDescent="0.25">
      <c r="A504" s="32"/>
      <c r="B504" s="49" t="s">
        <v>1063</v>
      </c>
      <c r="C504" s="1183"/>
      <c r="D504" s="409" t="s">
        <v>456</v>
      </c>
      <c r="E504" s="409" t="s">
        <v>488</v>
      </c>
      <c r="F504" s="409" t="s">
        <v>593</v>
      </c>
      <c r="G504" s="1662" t="s">
        <v>1062</v>
      </c>
      <c r="H504" s="1678">
        <f t="shared" ref="H504:U504" si="123">H505</f>
        <v>1761.778</v>
      </c>
      <c r="I504" s="851">
        <f t="shared" si="123"/>
        <v>0</v>
      </c>
      <c r="J504" s="353">
        <f t="shared" si="123"/>
        <v>0</v>
      </c>
      <c r="K504" s="1858">
        <f t="shared" si="123"/>
        <v>0</v>
      </c>
      <c r="L504" s="1858">
        <f t="shared" si="123"/>
        <v>0</v>
      </c>
      <c r="M504" s="1858">
        <f t="shared" si="123"/>
        <v>0</v>
      </c>
      <c r="N504" s="1181">
        <f t="shared" si="123"/>
        <v>1832.249</v>
      </c>
      <c r="O504" s="1858">
        <f t="shared" si="123"/>
        <v>0</v>
      </c>
      <c r="P504" s="1858">
        <f t="shared" si="123"/>
        <v>0</v>
      </c>
      <c r="Q504" s="1858">
        <f t="shared" si="123"/>
        <v>0</v>
      </c>
      <c r="R504" s="1858">
        <f t="shared" si="123"/>
        <v>0</v>
      </c>
      <c r="S504" s="1858">
        <f t="shared" si="123"/>
        <v>0</v>
      </c>
      <c r="T504" s="1858">
        <f t="shared" si="123"/>
        <v>0</v>
      </c>
      <c r="U504" s="1678">
        <f t="shared" si="123"/>
        <v>1905.539</v>
      </c>
    </row>
    <row r="505" spans="1:21" x14ac:dyDescent="0.25">
      <c r="A505" s="32"/>
      <c r="B505" s="1185" t="s">
        <v>571</v>
      </c>
      <c r="C505" s="1183"/>
      <c r="D505" s="409" t="s">
        <v>456</v>
      </c>
      <c r="E505" s="409" t="s">
        <v>488</v>
      </c>
      <c r="F505" s="409" t="s">
        <v>593</v>
      </c>
      <c r="G505" s="1662" t="s">
        <v>5</v>
      </c>
      <c r="H505" s="1678">
        <v>1761.778</v>
      </c>
      <c r="I505" s="851"/>
      <c r="J505" s="353"/>
      <c r="K505" s="1858"/>
      <c r="L505" s="1858"/>
      <c r="M505" s="1858"/>
      <c r="N505" s="1181">
        <v>1832.249</v>
      </c>
      <c r="O505" s="1858"/>
      <c r="P505" s="1858"/>
      <c r="Q505" s="1858"/>
      <c r="R505" s="1858"/>
      <c r="S505" s="1858"/>
      <c r="T505" s="1858"/>
      <c r="U505" s="1678">
        <v>1905.539</v>
      </c>
    </row>
    <row r="506" spans="1:21" ht="34.5" x14ac:dyDescent="0.25">
      <c r="A506" s="32"/>
      <c r="B506" s="1184" t="s">
        <v>592</v>
      </c>
      <c r="C506" s="1177"/>
      <c r="D506" s="408" t="s">
        <v>456</v>
      </c>
      <c r="E506" s="408" t="s">
        <v>495</v>
      </c>
      <c r="F506" s="408"/>
      <c r="G506" s="1661"/>
      <c r="H506" s="1677">
        <f>H507</f>
        <v>1937.0149999999999</v>
      </c>
      <c r="I506" s="850">
        <f>I507</f>
        <v>0</v>
      </c>
      <c r="J506" s="355">
        <f>J507</f>
        <v>0</v>
      </c>
      <c r="K506" s="1858"/>
      <c r="L506" s="1858"/>
      <c r="M506" s="1858"/>
      <c r="N506" s="1178">
        <f>N507</f>
        <v>2015.492</v>
      </c>
      <c r="O506" s="1858"/>
      <c r="P506" s="1858"/>
      <c r="Q506" s="1858"/>
      <c r="R506" s="1858"/>
      <c r="S506" s="1858"/>
      <c r="T506" s="1858"/>
      <c r="U506" s="1677">
        <f>U507</f>
        <v>1596.0729999999999</v>
      </c>
    </row>
    <row r="507" spans="1:21" ht="21" x14ac:dyDescent="0.25">
      <c r="A507" s="32"/>
      <c r="B507" s="753" t="s">
        <v>588</v>
      </c>
      <c r="C507" s="1180"/>
      <c r="D507" s="409" t="s">
        <v>456</v>
      </c>
      <c r="E507" s="409" t="s">
        <v>495</v>
      </c>
      <c r="F507" s="409" t="s">
        <v>157</v>
      </c>
      <c r="G507" s="1662"/>
      <c r="H507" s="1678">
        <f>H512+H514+H517</f>
        <v>1937.0149999999999</v>
      </c>
      <c r="I507" s="851">
        <f>I508+I519</f>
        <v>0</v>
      </c>
      <c r="J507" s="353">
        <f>J508+J519</f>
        <v>0</v>
      </c>
      <c r="K507" s="1858"/>
      <c r="L507" s="1858"/>
      <c r="M507" s="1858"/>
      <c r="N507" s="1181">
        <f>N508+N519</f>
        <v>2015.492</v>
      </c>
      <c r="O507" s="1858"/>
      <c r="P507" s="1858"/>
      <c r="Q507" s="1858"/>
      <c r="R507" s="1858"/>
      <c r="S507" s="1858"/>
      <c r="T507" s="1858"/>
      <c r="U507" s="1678">
        <f>U508+U519</f>
        <v>1596.0729999999999</v>
      </c>
    </row>
    <row r="508" spans="1:21" ht="21" x14ac:dyDescent="0.25">
      <c r="A508" s="32"/>
      <c r="B508" s="753" t="s">
        <v>591</v>
      </c>
      <c r="C508" s="1180"/>
      <c r="D508" s="409" t="s">
        <v>456</v>
      </c>
      <c r="E508" s="409" t="s">
        <v>495</v>
      </c>
      <c r="F508" s="409" t="s">
        <v>155</v>
      </c>
      <c r="G508" s="1662"/>
      <c r="H508" s="1678">
        <f t="shared" ref="H508:J509" si="124">H509</f>
        <v>1937.0149999999999</v>
      </c>
      <c r="I508" s="851">
        <f t="shared" si="124"/>
        <v>0</v>
      </c>
      <c r="J508" s="353">
        <f t="shared" si="124"/>
        <v>0</v>
      </c>
      <c r="K508" s="1858"/>
      <c r="L508" s="1858"/>
      <c r="M508" s="1858"/>
      <c r="N508" s="1181">
        <f t="shared" ref="N508:N509" si="125">N509</f>
        <v>2015.492</v>
      </c>
      <c r="O508" s="1858"/>
      <c r="P508" s="1858"/>
      <c r="Q508" s="1858"/>
      <c r="R508" s="1858"/>
      <c r="S508" s="1858"/>
      <c r="T508" s="1858"/>
      <c r="U508" s="1678">
        <f t="shared" ref="U508:U509" si="126">U509</f>
        <v>1596.0729999999999</v>
      </c>
    </row>
    <row r="509" spans="1:21" x14ac:dyDescent="0.25">
      <c r="A509" s="32"/>
      <c r="B509" s="753" t="s">
        <v>582</v>
      </c>
      <c r="C509" s="1180"/>
      <c r="D509" s="409" t="s">
        <v>456</v>
      </c>
      <c r="E509" s="409" t="s">
        <v>495</v>
      </c>
      <c r="F509" s="409" t="s">
        <v>154</v>
      </c>
      <c r="G509" s="1662"/>
      <c r="H509" s="1678">
        <f t="shared" si="124"/>
        <v>1937.0149999999999</v>
      </c>
      <c r="I509" s="851">
        <f t="shared" si="124"/>
        <v>0</v>
      </c>
      <c r="J509" s="353">
        <f t="shared" si="124"/>
        <v>0</v>
      </c>
      <c r="K509" s="1858"/>
      <c r="L509" s="1858"/>
      <c r="M509" s="1858"/>
      <c r="N509" s="1181">
        <f t="shared" si="125"/>
        <v>2015.492</v>
      </c>
      <c r="O509" s="1858"/>
      <c r="P509" s="1858"/>
      <c r="Q509" s="1858"/>
      <c r="R509" s="1858"/>
      <c r="S509" s="1858"/>
      <c r="T509" s="1858"/>
      <c r="U509" s="1678">
        <f t="shared" si="126"/>
        <v>1596.0729999999999</v>
      </c>
    </row>
    <row r="510" spans="1:21" x14ac:dyDescent="0.25">
      <c r="A510" s="32"/>
      <c r="B510" s="753" t="s">
        <v>153</v>
      </c>
      <c r="C510" s="1180"/>
      <c r="D510" s="409" t="s">
        <v>456</v>
      </c>
      <c r="E510" s="409" t="s">
        <v>495</v>
      </c>
      <c r="F510" s="409" t="s">
        <v>152</v>
      </c>
      <c r="G510" s="1662"/>
      <c r="H510" s="1678">
        <f>H512+H514+H517+H515</f>
        <v>1937.0149999999999</v>
      </c>
      <c r="I510" s="851">
        <f>I512+I514</f>
        <v>0</v>
      </c>
      <c r="J510" s="353">
        <f>J512+J514</f>
        <v>0</v>
      </c>
      <c r="K510" s="1858"/>
      <c r="L510" s="1858"/>
      <c r="M510" s="1858"/>
      <c r="N510" s="1181">
        <f>N512+N514+N517</f>
        <v>2015.492</v>
      </c>
      <c r="O510" s="1858"/>
      <c r="P510" s="1858"/>
      <c r="Q510" s="1858"/>
      <c r="R510" s="1858"/>
      <c r="S510" s="1858"/>
      <c r="T510" s="1858"/>
      <c r="U510" s="1678">
        <f>U512+U514+U517</f>
        <v>1596.0729999999999</v>
      </c>
    </row>
    <row r="511" spans="1:21" ht="52" x14ac:dyDescent="0.25">
      <c r="A511" s="32"/>
      <c r="B511" s="49" t="s">
        <v>1063</v>
      </c>
      <c r="C511" s="1180"/>
      <c r="D511" s="409" t="s">
        <v>456</v>
      </c>
      <c r="E511" s="409" t="s">
        <v>495</v>
      </c>
      <c r="F511" s="409" t="s">
        <v>152</v>
      </c>
      <c r="G511" s="1662" t="s">
        <v>1062</v>
      </c>
      <c r="H511" s="1678">
        <f t="shared" ref="H511:U511" si="127">H512</f>
        <v>994.077</v>
      </c>
      <c r="I511" s="851">
        <f t="shared" si="127"/>
        <v>0</v>
      </c>
      <c r="J511" s="1187">
        <f t="shared" si="127"/>
        <v>0</v>
      </c>
      <c r="K511" s="1858">
        <f t="shared" si="127"/>
        <v>0</v>
      </c>
      <c r="L511" s="1858">
        <f t="shared" si="127"/>
        <v>0</v>
      </c>
      <c r="M511" s="1858">
        <f t="shared" si="127"/>
        <v>0</v>
      </c>
      <c r="N511" s="1181">
        <f t="shared" si="127"/>
        <v>1033.8399999999999</v>
      </c>
      <c r="O511" s="1858">
        <f t="shared" si="127"/>
        <v>0</v>
      </c>
      <c r="P511" s="1858">
        <f t="shared" si="127"/>
        <v>0</v>
      </c>
      <c r="Q511" s="1858">
        <f t="shared" si="127"/>
        <v>0</v>
      </c>
      <c r="R511" s="1858">
        <f t="shared" si="127"/>
        <v>0</v>
      </c>
      <c r="S511" s="1858">
        <f t="shared" si="127"/>
        <v>0</v>
      </c>
      <c r="T511" s="1858">
        <f t="shared" si="127"/>
        <v>0</v>
      </c>
      <c r="U511" s="1678">
        <f t="shared" si="127"/>
        <v>1075.194</v>
      </c>
    </row>
    <row r="512" spans="1:21" x14ac:dyDescent="0.25">
      <c r="A512" s="32"/>
      <c r="B512" s="1182" t="s">
        <v>571</v>
      </c>
      <c r="C512" s="1183"/>
      <c r="D512" s="409" t="s">
        <v>456</v>
      </c>
      <c r="E512" s="409" t="s">
        <v>495</v>
      </c>
      <c r="F512" s="409" t="s">
        <v>152</v>
      </c>
      <c r="G512" s="1662" t="s">
        <v>5</v>
      </c>
      <c r="H512" s="1678">
        <v>994.077</v>
      </c>
      <c r="I512" s="851"/>
      <c r="J512" s="352"/>
      <c r="K512" s="1858"/>
      <c r="L512" s="1858"/>
      <c r="M512" s="1858"/>
      <c r="N512" s="1181">
        <v>1033.8399999999999</v>
      </c>
      <c r="O512" s="1858"/>
      <c r="P512" s="1858"/>
      <c r="Q512" s="1858"/>
      <c r="R512" s="1858"/>
      <c r="S512" s="1858"/>
      <c r="T512" s="1858"/>
      <c r="U512" s="1678">
        <v>1075.194</v>
      </c>
    </row>
    <row r="513" spans="1:21" x14ac:dyDescent="0.25">
      <c r="A513" s="32"/>
      <c r="B513" s="1256" t="s">
        <v>921</v>
      </c>
      <c r="C513" s="1183"/>
      <c r="D513" s="409" t="s">
        <v>456</v>
      </c>
      <c r="E513" s="409" t="s">
        <v>495</v>
      </c>
      <c r="F513" s="409" t="s">
        <v>152</v>
      </c>
      <c r="G513" s="1662" t="s">
        <v>955</v>
      </c>
      <c r="H513" s="1678">
        <f t="shared" ref="H513:U513" si="128">H514</f>
        <v>941.93799999999999</v>
      </c>
      <c r="I513" s="851">
        <f t="shared" si="128"/>
        <v>0</v>
      </c>
      <c r="J513" s="352">
        <f t="shared" si="128"/>
        <v>0</v>
      </c>
      <c r="K513" s="1858">
        <f t="shared" si="128"/>
        <v>0</v>
      </c>
      <c r="L513" s="1858">
        <f t="shared" si="128"/>
        <v>0</v>
      </c>
      <c r="M513" s="1858">
        <f t="shared" si="128"/>
        <v>0</v>
      </c>
      <c r="N513" s="1181">
        <f t="shared" si="128"/>
        <v>980.65200000000004</v>
      </c>
      <c r="O513" s="1858">
        <f t="shared" si="128"/>
        <v>0</v>
      </c>
      <c r="P513" s="1858">
        <f t="shared" si="128"/>
        <v>0</v>
      </c>
      <c r="Q513" s="1858">
        <f t="shared" si="128"/>
        <v>0</v>
      </c>
      <c r="R513" s="1858">
        <f t="shared" si="128"/>
        <v>0</v>
      </c>
      <c r="S513" s="1858">
        <f t="shared" si="128"/>
        <v>0</v>
      </c>
      <c r="T513" s="1858">
        <f t="shared" si="128"/>
        <v>0</v>
      </c>
      <c r="U513" s="1678">
        <f t="shared" si="128"/>
        <v>519.87900000000002</v>
      </c>
    </row>
    <row r="514" spans="1:21" ht="21" x14ac:dyDescent="0.25">
      <c r="A514" s="32"/>
      <c r="B514" s="1182" t="s">
        <v>454</v>
      </c>
      <c r="C514" s="1183"/>
      <c r="D514" s="409" t="s">
        <v>456</v>
      </c>
      <c r="E514" s="409" t="s">
        <v>495</v>
      </c>
      <c r="F514" s="409" t="s">
        <v>152</v>
      </c>
      <c r="G514" s="1662" t="s">
        <v>1</v>
      </c>
      <c r="H514" s="1838">
        <v>941.93799999999999</v>
      </c>
      <c r="I514" s="851"/>
      <c r="J514" s="352"/>
      <c r="K514" s="1859"/>
      <c r="L514" s="1858"/>
      <c r="M514" s="1858"/>
      <c r="N514" s="1840">
        <v>980.65200000000004</v>
      </c>
      <c r="O514" s="1858"/>
      <c r="P514" s="1858"/>
      <c r="Q514" s="1858"/>
      <c r="R514" s="1858"/>
      <c r="S514" s="1858"/>
      <c r="T514" s="1858"/>
      <c r="U514" s="1838">
        <f>1019.879-500</f>
        <v>519.87900000000002</v>
      </c>
    </row>
    <row r="515" spans="1:21" hidden="1" x14ac:dyDescent="0.25">
      <c r="A515" s="1478"/>
      <c r="B515" s="1191" t="s">
        <v>1003</v>
      </c>
      <c r="C515" s="1192"/>
      <c r="D515" s="409" t="s">
        <v>456</v>
      </c>
      <c r="E515" s="409" t="s">
        <v>495</v>
      </c>
      <c r="F515" s="409" t="s">
        <v>152</v>
      </c>
      <c r="G515" s="1663" t="s">
        <v>95</v>
      </c>
      <c r="H515" s="1896"/>
      <c r="I515" s="852"/>
      <c r="J515" s="1897"/>
      <c r="K515" s="1859"/>
      <c r="L515" s="1858"/>
      <c r="M515" s="1858"/>
      <c r="N515" s="1898"/>
      <c r="O515" s="1858"/>
      <c r="P515" s="1858"/>
      <c r="Q515" s="1858"/>
      <c r="R515" s="1858"/>
      <c r="S515" s="1858"/>
      <c r="T515" s="1858"/>
      <c r="U515" s="1896"/>
    </row>
    <row r="516" spans="1:21" x14ac:dyDescent="0.25">
      <c r="A516" s="1478"/>
      <c r="B516" s="1191" t="s">
        <v>1068</v>
      </c>
      <c r="C516" s="1192"/>
      <c r="D516" s="1193" t="s">
        <v>456</v>
      </c>
      <c r="E516" s="1193" t="s">
        <v>495</v>
      </c>
      <c r="F516" s="1193" t="s">
        <v>152</v>
      </c>
      <c r="G516" s="1663" t="s">
        <v>1064</v>
      </c>
      <c r="H516" s="1896">
        <f t="shared" ref="H516:U516" si="129">H517</f>
        <v>1</v>
      </c>
      <c r="I516" s="852">
        <f t="shared" si="129"/>
        <v>0</v>
      </c>
      <c r="J516" s="1897">
        <f t="shared" si="129"/>
        <v>0</v>
      </c>
      <c r="K516" s="1859">
        <f t="shared" si="129"/>
        <v>5</v>
      </c>
      <c r="L516" s="1858">
        <f t="shared" si="129"/>
        <v>0</v>
      </c>
      <c r="M516" s="1858">
        <f t="shared" si="129"/>
        <v>0</v>
      </c>
      <c r="N516" s="1898">
        <f t="shared" si="129"/>
        <v>1</v>
      </c>
      <c r="O516" s="1858">
        <f t="shared" si="129"/>
        <v>0</v>
      </c>
      <c r="P516" s="1858">
        <f t="shared" si="129"/>
        <v>0</v>
      </c>
      <c r="Q516" s="1858">
        <f t="shared" si="129"/>
        <v>0</v>
      </c>
      <c r="R516" s="1858">
        <f t="shared" si="129"/>
        <v>0</v>
      </c>
      <c r="S516" s="1858">
        <f t="shared" si="129"/>
        <v>0</v>
      </c>
      <c r="T516" s="1858">
        <f t="shared" si="129"/>
        <v>0</v>
      </c>
      <c r="U516" s="1896">
        <f t="shared" si="129"/>
        <v>1</v>
      </c>
    </row>
    <row r="517" spans="1:21" ht="13" thickBot="1" x14ac:dyDescent="0.3">
      <c r="A517" s="26"/>
      <c r="B517" s="1259" t="s">
        <v>457</v>
      </c>
      <c r="C517" s="1260"/>
      <c r="D517" s="1261" t="s">
        <v>456</v>
      </c>
      <c r="E517" s="1261" t="s">
        <v>495</v>
      </c>
      <c r="F517" s="1261" t="s">
        <v>152</v>
      </c>
      <c r="G517" s="1672" t="s">
        <v>91</v>
      </c>
      <c r="H517" s="1899">
        <v>1</v>
      </c>
      <c r="I517" s="1900"/>
      <c r="J517" s="1901"/>
      <c r="K517" s="1902">
        <v>5</v>
      </c>
      <c r="L517" s="1903"/>
      <c r="M517" s="1903"/>
      <c r="N517" s="1904">
        <v>1</v>
      </c>
      <c r="O517" s="1903"/>
      <c r="P517" s="1903"/>
      <c r="Q517" s="1903"/>
      <c r="R517" s="1903"/>
      <c r="S517" s="1903"/>
      <c r="T517" s="1903"/>
      <c r="U517" s="1899">
        <v>1</v>
      </c>
    </row>
    <row r="518" spans="1:21" ht="39.5" thickBot="1" x14ac:dyDescent="0.3">
      <c r="A518" s="1168">
        <v>3</v>
      </c>
      <c r="B518" s="2296" t="s">
        <v>1112</v>
      </c>
      <c r="C518" s="1161" t="s">
        <v>1111</v>
      </c>
      <c r="D518" s="1161"/>
      <c r="E518" s="1161"/>
      <c r="F518" s="1161"/>
      <c r="G518" s="1658"/>
      <c r="H518" s="1675">
        <f>H519+H613+H639+H688+H781+H791++H814+H832+H605+H857</f>
        <v>415.5</v>
      </c>
      <c r="I518" s="848">
        <f>I519+I588+I614+I663+I737+I748+I787+I802+I580</f>
        <v>0</v>
      </c>
      <c r="J518" s="293">
        <f>J519+J588+J614+J663+J737+J748+J787+J802+J580</f>
        <v>0</v>
      </c>
      <c r="K518" s="2185"/>
      <c r="L518" s="2185"/>
      <c r="M518" s="2185"/>
      <c r="N518" s="1170">
        <f>N519+N613+N639+N688+N781+N791++N814+N832+N605+N857</f>
        <v>0</v>
      </c>
      <c r="O518" s="2185"/>
      <c r="P518" s="2185"/>
      <c r="Q518" s="2185"/>
      <c r="R518" s="2185"/>
      <c r="S518" s="2185"/>
      <c r="T518" s="2185"/>
      <c r="U518" s="1675">
        <f>U519+U613+U639+U688+U781+U791++U814+U832+U605+U857</f>
        <v>0</v>
      </c>
    </row>
    <row r="519" spans="1:21" ht="13" x14ac:dyDescent="0.3">
      <c r="A519" s="2297"/>
      <c r="B519" s="2323" t="s">
        <v>431</v>
      </c>
      <c r="C519" s="2298"/>
      <c r="D519" s="1361" t="s">
        <v>456</v>
      </c>
      <c r="E519" s="1361" t="s">
        <v>459</v>
      </c>
      <c r="F519" s="1361"/>
      <c r="G519" s="1851"/>
      <c r="H519" s="2299">
        <f>H526+H527+H552+H570+H582+H588</f>
        <v>415.5</v>
      </c>
      <c r="I519" s="2300">
        <f>I520+I527+I544</f>
        <v>0</v>
      </c>
      <c r="J519" s="2301">
        <f>J520+J527+J544</f>
        <v>0</v>
      </c>
      <c r="K519" s="2302" t="e">
        <f>#REF!+K533+K535+K538+K557+K558+K559+K561+K563+K569+K575+K587+K591+K592+K593+K594</f>
        <v>#REF!</v>
      </c>
      <c r="L519" s="2303"/>
      <c r="M519" s="2303"/>
      <c r="N519" s="2299">
        <f>N526+N527+N552+N570+N582+N588</f>
        <v>0</v>
      </c>
      <c r="O519" s="2303"/>
      <c r="P519" s="2303"/>
      <c r="Q519" s="2303"/>
      <c r="R519" s="2303"/>
      <c r="S519" s="2303"/>
      <c r="T519" s="2303"/>
      <c r="U519" s="2299">
        <f>U526+U527+U552+U570+U582+U588</f>
        <v>0</v>
      </c>
    </row>
    <row r="520" spans="1:21" ht="13" x14ac:dyDescent="0.3">
      <c r="A520" s="2295"/>
      <c r="B520" s="2324" t="s">
        <v>1113</v>
      </c>
      <c r="C520" s="1177"/>
      <c r="D520" s="408" t="s">
        <v>456</v>
      </c>
      <c r="E520" s="408" t="s">
        <v>506</v>
      </c>
      <c r="F520" s="408"/>
      <c r="G520" s="1661"/>
      <c r="H520" s="1677">
        <f t="shared" ref="H520:H525" si="130">H521</f>
        <v>415.5</v>
      </c>
      <c r="I520" s="850">
        <f t="shared" ref="I520:J524" si="131">I521</f>
        <v>0</v>
      </c>
      <c r="J520" s="355">
        <f t="shared" si="131"/>
        <v>0</v>
      </c>
      <c r="K520" s="1860"/>
      <c r="L520" s="1860"/>
      <c r="M520" s="1860"/>
      <c r="N520" s="1677">
        <f t="shared" ref="N520:N525" si="132">N521</f>
        <v>0</v>
      </c>
      <c r="O520" s="1860"/>
      <c r="P520" s="1860"/>
      <c r="Q520" s="1860"/>
      <c r="R520" s="1860"/>
      <c r="S520" s="1860"/>
      <c r="T520" s="1860"/>
      <c r="U520" s="1677">
        <f t="shared" ref="U520:U525" si="133">U521</f>
        <v>0</v>
      </c>
    </row>
    <row r="521" spans="1:21" ht="26" x14ac:dyDescent="0.3">
      <c r="A521" s="2295"/>
      <c r="B521" s="2325" t="s">
        <v>1114</v>
      </c>
      <c r="C521" s="1177"/>
      <c r="D521" s="408" t="s">
        <v>456</v>
      </c>
      <c r="E521" s="408" t="s">
        <v>506</v>
      </c>
      <c r="F521" s="408" t="s">
        <v>89</v>
      </c>
      <c r="G521" s="1661"/>
      <c r="H521" s="1678">
        <f t="shared" si="130"/>
        <v>415.5</v>
      </c>
      <c r="I521" s="850">
        <f t="shared" si="131"/>
        <v>0</v>
      </c>
      <c r="J521" s="355">
        <f t="shared" si="131"/>
        <v>0</v>
      </c>
      <c r="K521" s="1860"/>
      <c r="L521" s="1860"/>
      <c r="M521" s="1860"/>
      <c r="N521" s="1678">
        <f t="shared" si="132"/>
        <v>0</v>
      </c>
      <c r="O521" s="1860"/>
      <c r="P521" s="1860"/>
      <c r="Q521" s="1860"/>
      <c r="R521" s="1860"/>
      <c r="S521" s="1860"/>
      <c r="T521" s="1860"/>
      <c r="U521" s="1678">
        <f t="shared" si="133"/>
        <v>0</v>
      </c>
    </row>
    <row r="522" spans="1:21" ht="13" x14ac:dyDescent="0.3">
      <c r="A522" s="2295"/>
      <c r="B522" s="2325" t="s">
        <v>582</v>
      </c>
      <c r="C522" s="1177"/>
      <c r="D522" s="408" t="s">
        <v>456</v>
      </c>
      <c r="E522" s="408" t="s">
        <v>506</v>
      </c>
      <c r="F522" s="408" t="s">
        <v>84</v>
      </c>
      <c r="G522" s="1661"/>
      <c r="H522" s="1678">
        <f t="shared" si="130"/>
        <v>415.5</v>
      </c>
      <c r="I522" s="850">
        <f t="shared" si="131"/>
        <v>0</v>
      </c>
      <c r="J522" s="355">
        <f t="shared" si="131"/>
        <v>0</v>
      </c>
      <c r="K522" s="1860"/>
      <c r="L522" s="1860"/>
      <c r="M522" s="1860"/>
      <c r="N522" s="1678">
        <f t="shared" si="132"/>
        <v>0</v>
      </c>
      <c r="O522" s="1860"/>
      <c r="P522" s="1860"/>
      <c r="Q522" s="1860"/>
      <c r="R522" s="1860"/>
      <c r="S522" s="1860"/>
      <c r="T522" s="1860"/>
      <c r="U522" s="1678">
        <f t="shared" si="133"/>
        <v>0</v>
      </c>
    </row>
    <row r="523" spans="1:21" ht="13" x14ac:dyDescent="0.3">
      <c r="A523" s="2295"/>
      <c r="B523" s="2325" t="s">
        <v>582</v>
      </c>
      <c r="C523" s="1177"/>
      <c r="D523" s="408" t="s">
        <v>595</v>
      </c>
      <c r="E523" s="408" t="s">
        <v>506</v>
      </c>
      <c r="F523" s="408" t="s">
        <v>82</v>
      </c>
      <c r="G523" s="1661"/>
      <c r="H523" s="1678">
        <f t="shared" si="130"/>
        <v>415.5</v>
      </c>
      <c r="I523" s="850">
        <f t="shared" si="131"/>
        <v>0</v>
      </c>
      <c r="J523" s="355">
        <f t="shared" si="131"/>
        <v>0</v>
      </c>
      <c r="K523" s="1860"/>
      <c r="L523" s="1860"/>
      <c r="M523" s="1860"/>
      <c r="N523" s="1678">
        <f t="shared" si="132"/>
        <v>0</v>
      </c>
      <c r="O523" s="1860"/>
      <c r="P523" s="1860"/>
      <c r="Q523" s="1860"/>
      <c r="R523" s="1860"/>
      <c r="S523" s="1860"/>
      <c r="T523" s="1860"/>
      <c r="U523" s="1678">
        <f t="shared" si="133"/>
        <v>0</v>
      </c>
    </row>
    <row r="524" spans="1:21" ht="39" x14ac:dyDescent="0.3">
      <c r="A524" s="2295"/>
      <c r="B524" s="2326" t="s">
        <v>1117</v>
      </c>
      <c r="C524" s="1177"/>
      <c r="D524" s="408" t="s">
        <v>595</v>
      </c>
      <c r="E524" s="408" t="s">
        <v>506</v>
      </c>
      <c r="F524" s="408" t="s">
        <v>1106</v>
      </c>
      <c r="G524" s="1661"/>
      <c r="H524" s="1678">
        <f t="shared" si="130"/>
        <v>415.5</v>
      </c>
      <c r="I524" s="850">
        <f t="shared" si="131"/>
        <v>0</v>
      </c>
      <c r="J524" s="355">
        <f t="shared" si="131"/>
        <v>0</v>
      </c>
      <c r="K524" s="1860"/>
      <c r="L524" s="1860"/>
      <c r="M524" s="1860"/>
      <c r="N524" s="1678">
        <f t="shared" si="132"/>
        <v>0</v>
      </c>
      <c r="O524" s="1860"/>
      <c r="P524" s="1860"/>
      <c r="Q524" s="1860"/>
      <c r="R524" s="1860"/>
      <c r="S524" s="1860"/>
      <c r="T524" s="1860"/>
      <c r="U524" s="1678">
        <f t="shared" si="133"/>
        <v>0</v>
      </c>
    </row>
    <row r="525" spans="1:21" ht="13" x14ac:dyDescent="0.3">
      <c r="A525" s="2295"/>
      <c r="B525" s="2327" t="s">
        <v>123</v>
      </c>
      <c r="C525" s="1207"/>
      <c r="D525" s="408" t="s">
        <v>456</v>
      </c>
      <c r="E525" s="408" t="s">
        <v>506</v>
      </c>
      <c r="F525" s="408" t="s">
        <v>1106</v>
      </c>
      <c r="G525" s="1661" t="s">
        <v>1064</v>
      </c>
      <c r="H525" s="1678">
        <f t="shared" si="130"/>
        <v>415.5</v>
      </c>
      <c r="I525" s="850"/>
      <c r="J525" s="355"/>
      <c r="K525" s="1860"/>
      <c r="L525" s="1860"/>
      <c r="M525" s="1860"/>
      <c r="N525" s="1678">
        <f t="shared" si="132"/>
        <v>0</v>
      </c>
      <c r="O525" s="1860"/>
      <c r="P525" s="1860"/>
      <c r="Q525" s="1860"/>
      <c r="R525" s="1860"/>
      <c r="S525" s="1860"/>
      <c r="T525" s="1860"/>
      <c r="U525" s="1678">
        <f t="shared" si="133"/>
        <v>0</v>
      </c>
    </row>
    <row r="526" spans="1:21" ht="13.5" thickBot="1" x14ac:dyDescent="0.35">
      <c r="A526" s="2304"/>
      <c r="B526" s="2328" t="s">
        <v>1115</v>
      </c>
      <c r="C526" s="2305"/>
      <c r="D526" s="2306" t="s">
        <v>456</v>
      </c>
      <c r="E526" s="2306" t="s">
        <v>506</v>
      </c>
      <c r="F526" s="2306" t="s">
        <v>1106</v>
      </c>
      <c r="G526" s="2307" t="s">
        <v>1116</v>
      </c>
      <c r="H526" s="2308">
        <v>415.5</v>
      </c>
      <c r="I526" s="2309"/>
      <c r="J526" s="2310"/>
      <c r="K526" s="2311" t="e">
        <f>#REF!+K533+K535+K538</f>
        <v>#REF!</v>
      </c>
      <c r="L526" s="2311" t="e">
        <f>K526-3579.885</f>
        <v>#REF!</v>
      </c>
      <c r="M526" s="2311"/>
      <c r="N526" s="2308">
        <v>0</v>
      </c>
      <c r="O526" s="2311"/>
      <c r="P526" s="2311"/>
      <c r="Q526" s="2311"/>
      <c r="R526" s="2311"/>
      <c r="S526" s="2311"/>
      <c r="T526" s="2311"/>
      <c r="U526" s="2308">
        <v>0</v>
      </c>
    </row>
  </sheetData>
  <mergeCells count="10">
    <mergeCell ref="H1:U1"/>
    <mergeCell ref="H2:U2"/>
    <mergeCell ref="H3:U3"/>
    <mergeCell ref="H4:U4"/>
    <mergeCell ref="H5:U5"/>
    <mergeCell ref="H11:U11"/>
    <mergeCell ref="B18:H18"/>
    <mergeCell ref="A19:U19"/>
    <mergeCell ref="A20:U20"/>
    <mergeCell ref="A21:U21"/>
  </mergeCells>
  <pageMargins left="0.70866141732283472" right="0.23622047244094491" top="0.45" bottom="0.31496062992125984" header="0.31496062992125984" footer="0.15748031496062992"/>
  <pageSetup paperSize="9" scale="55" firstPageNumber="55" fitToHeight="4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2705" t="s">
        <v>991</v>
      </c>
      <c r="I5" s="2705"/>
      <c r="J5" s="2705"/>
      <c r="K5" s="2705"/>
      <c r="L5" s="2705"/>
      <c r="M5" s="2705"/>
      <c r="N5" s="2705"/>
      <c r="O5" s="2705"/>
      <c r="P5" s="2705"/>
      <c r="Q5" s="2705"/>
      <c r="R5" s="2705"/>
      <c r="S5" s="2705"/>
      <c r="T5" s="2705"/>
      <c r="U5" s="2705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2727"/>
      <c r="C12" s="2727"/>
      <c r="D12" s="2727"/>
      <c r="E12" s="2727"/>
      <c r="F12" s="2727"/>
      <c r="G12" s="2727"/>
      <c r="H12" s="2727"/>
      <c r="I12" s="1830" t="e">
        <f>I10-I11-#REF!</f>
        <v>#REF!</v>
      </c>
      <c r="N12" s="237"/>
      <c r="U12" s="237"/>
    </row>
    <row r="13" spans="1:27" ht="15.65" customHeight="1" x14ac:dyDescent="0.25">
      <c r="A13" s="2728" t="s">
        <v>614</v>
      </c>
      <c r="B13" s="2728"/>
      <c r="C13" s="2728"/>
      <c r="D13" s="2728"/>
      <c r="E13" s="2728"/>
      <c r="F13" s="2728"/>
      <c r="G13" s="2728"/>
      <c r="H13" s="2728"/>
      <c r="I13" s="2728"/>
      <c r="J13" s="2728"/>
      <c r="K13" s="2728"/>
      <c r="L13" s="2728"/>
      <c r="M13" s="2728"/>
      <c r="N13" s="2728"/>
      <c r="O13" s="2728"/>
      <c r="P13" s="2728"/>
      <c r="Q13" s="2728"/>
      <c r="R13" s="2728"/>
      <c r="S13" s="2728"/>
      <c r="T13" s="2728"/>
      <c r="U13" s="2728"/>
      <c r="AA13" s="1831"/>
    </row>
    <row r="14" spans="1:27" ht="15.65" customHeight="1" x14ac:dyDescent="0.25">
      <c r="A14" s="2728" t="s">
        <v>613</v>
      </c>
      <c r="B14" s="2728"/>
      <c r="C14" s="2728"/>
      <c r="D14" s="2728"/>
      <c r="E14" s="2728"/>
      <c r="F14" s="2728"/>
      <c r="G14" s="2728"/>
      <c r="H14" s="2728"/>
      <c r="I14" s="2728"/>
      <c r="J14" s="2728"/>
      <c r="K14" s="2728"/>
      <c r="L14" s="2728"/>
      <c r="M14" s="2728"/>
      <c r="N14" s="2728"/>
      <c r="O14" s="2728"/>
      <c r="P14" s="2728"/>
      <c r="Q14" s="2728"/>
      <c r="R14" s="2728"/>
      <c r="S14" s="2728"/>
      <c r="T14" s="2728"/>
      <c r="U14" s="2728"/>
      <c r="AA14" s="1832"/>
    </row>
    <row r="15" spans="1:27" ht="15" customHeight="1" x14ac:dyDescent="0.25">
      <c r="A15" s="2728" t="s">
        <v>995</v>
      </c>
      <c r="B15" s="2728"/>
      <c r="C15" s="2728"/>
      <c r="D15" s="2728"/>
      <c r="E15" s="2728"/>
      <c r="F15" s="2728"/>
      <c r="G15" s="2728"/>
      <c r="H15" s="2728"/>
      <c r="I15" s="2728"/>
      <c r="J15" s="2728"/>
      <c r="K15" s="2728"/>
      <c r="L15" s="2728"/>
      <c r="M15" s="2728"/>
      <c r="N15" s="2728"/>
      <c r="O15" s="2728"/>
      <c r="P15" s="2728"/>
      <c r="Q15" s="2728"/>
      <c r="R15" s="2728"/>
      <c r="S15" s="2728"/>
      <c r="T15" s="2728"/>
      <c r="U15" s="2728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 t="shared" ref="N48:N51" si="3">N49</f>
        <v>0</v>
      </c>
      <c r="O48" s="1858"/>
      <c r="P48" s="1858"/>
      <c r="Q48" s="1858"/>
      <c r="R48" s="1858"/>
      <c r="S48" s="1858"/>
      <c r="T48" s="1858"/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 t="shared" si="3"/>
        <v>0</v>
      </c>
      <c r="O49" s="1858"/>
      <c r="P49" s="1858"/>
      <c r="Q49" s="1858"/>
      <c r="R49" s="1858"/>
      <c r="S49" s="1858"/>
      <c r="T49" s="1858"/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 t="shared" si="3"/>
        <v>0</v>
      </c>
      <c r="O50" s="1858"/>
      <c r="P50" s="1858"/>
      <c r="Q50" s="1858"/>
      <c r="R50" s="1858"/>
      <c r="S50" s="1858"/>
      <c r="T50" s="1858"/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 t="shared" si="3"/>
        <v>0</v>
      </c>
      <c r="O51" s="1858"/>
      <c r="P51" s="1858"/>
      <c r="Q51" s="1858"/>
      <c r="R51" s="1858"/>
      <c r="S51" s="1858"/>
      <c r="T51" s="1858"/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39" x14ac:dyDescent="0.25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5">N61</f>
        <v>14470.677</v>
      </c>
      <c r="O60" s="1858">
        <f t="shared" si="5"/>
        <v>0</v>
      </c>
      <c r="P60" s="1858">
        <f t="shared" si="5"/>
        <v>0</v>
      </c>
      <c r="Q60" s="1858">
        <f t="shared" si="5"/>
        <v>0</v>
      </c>
      <c r="R60" s="1858">
        <f t="shared" si="5"/>
        <v>0</v>
      </c>
      <c r="S60" s="1858">
        <f t="shared" si="5"/>
        <v>0</v>
      </c>
      <c r="T60" s="1858">
        <f t="shared" si="5"/>
        <v>0</v>
      </c>
      <c r="U60" s="1678">
        <f t="shared" si="5"/>
        <v>15049.504000000001</v>
      </c>
    </row>
    <row r="61" spans="1:27" x14ac:dyDescent="0.25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x14ac:dyDescent="0.25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5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6">H65</f>
        <v>10</v>
      </c>
      <c r="I64" s="851">
        <f t="shared" si="6"/>
        <v>0</v>
      </c>
      <c r="J64" s="352">
        <f t="shared" si="6"/>
        <v>0</v>
      </c>
      <c r="K64" s="1859">
        <f t="shared" si="6"/>
        <v>10</v>
      </c>
      <c r="L64" s="1858">
        <f t="shared" si="6"/>
        <v>0</v>
      </c>
      <c r="M64" s="1858">
        <f t="shared" si="6"/>
        <v>0</v>
      </c>
      <c r="N64" s="1181">
        <f t="shared" si="6"/>
        <v>10</v>
      </c>
      <c r="O64" s="1858">
        <f t="shared" si="6"/>
        <v>0</v>
      </c>
      <c r="P64" s="1858">
        <f t="shared" si="6"/>
        <v>0</v>
      </c>
      <c r="Q64" s="1858">
        <f t="shared" si="6"/>
        <v>0</v>
      </c>
      <c r="R64" s="1858">
        <f t="shared" si="6"/>
        <v>0</v>
      </c>
      <c r="S64" s="1858">
        <f t="shared" si="6"/>
        <v>0</v>
      </c>
      <c r="T64" s="1858">
        <f t="shared" si="6"/>
        <v>0</v>
      </c>
      <c r="U64" s="1678">
        <f t="shared" si="6"/>
        <v>10</v>
      </c>
    </row>
    <row r="65" spans="1:21" x14ac:dyDescent="0.25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1" x14ac:dyDescent="0.25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5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7">H68</f>
        <v>54.32</v>
      </c>
      <c r="I67" s="529">
        <f t="shared" si="7"/>
        <v>0</v>
      </c>
      <c r="J67" s="269">
        <f t="shared" si="7"/>
        <v>0</v>
      </c>
      <c r="K67" s="1858">
        <f t="shared" si="7"/>
        <v>50.6</v>
      </c>
      <c r="L67" s="1858">
        <f t="shared" si="7"/>
        <v>0</v>
      </c>
      <c r="M67" s="1858">
        <f t="shared" si="7"/>
        <v>0</v>
      </c>
      <c r="N67" s="1200">
        <f t="shared" si="7"/>
        <v>0</v>
      </c>
      <c r="O67" s="1858">
        <f t="shared" si="7"/>
        <v>0</v>
      </c>
      <c r="P67" s="1858">
        <f t="shared" si="7"/>
        <v>0</v>
      </c>
      <c r="Q67" s="1858">
        <f t="shared" si="7"/>
        <v>0</v>
      </c>
      <c r="R67" s="1858">
        <f t="shared" si="7"/>
        <v>0</v>
      </c>
      <c r="S67" s="1858">
        <f t="shared" si="7"/>
        <v>0</v>
      </c>
      <c r="T67" s="1858">
        <f t="shared" si="7"/>
        <v>0</v>
      </c>
      <c r="U67" s="1682">
        <f t="shared" si="7"/>
        <v>0</v>
      </c>
    </row>
    <row r="68" spans="1:2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1" x14ac:dyDescent="0.25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5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8">H71</f>
        <v>321</v>
      </c>
      <c r="I70" s="529">
        <f t="shared" si="8"/>
        <v>0</v>
      </c>
      <c r="J70" s="269">
        <f t="shared" si="8"/>
        <v>0</v>
      </c>
      <c r="K70" s="1858">
        <f t="shared" si="8"/>
        <v>307.5</v>
      </c>
      <c r="L70" s="1858">
        <f t="shared" si="8"/>
        <v>0</v>
      </c>
      <c r="M70" s="1858">
        <f t="shared" si="8"/>
        <v>0</v>
      </c>
      <c r="N70" s="1200">
        <f t="shared" si="8"/>
        <v>0</v>
      </c>
      <c r="O70" s="1858">
        <f t="shared" si="8"/>
        <v>0</v>
      </c>
      <c r="P70" s="1858">
        <f t="shared" si="8"/>
        <v>0</v>
      </c>
      <c r="Q70" s="1858">
        <f t="shared" si="8"/>
        <v>0</v>
      </c>
      <c r="R70" s="1858">
        <f t="shared" si="8"/>
        <v>0</v>
      </c>
      <c r="S70" s="1858">
        <f t="shared" si="8"/>
        <v>0</v>
      </c>
      <c r="T70" s="1858">
        <f t="shared" si="8"/>
        <v>0</v>
      </c>
      <c r="U70" s="1682">
        <f t="shared" si="8"/>
        <v>0</v>
      </c>
    </row>
    <row r="71" spans="1:21" x14ac:dyDescent="0.25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31.5" hidden="1" x14ac:dyDescent="0.25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5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1.5" x14ac:dyDescent="0.25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>H75</f>
        <v>1573.114</v>
      </c>
      <c r="I74" s="529">
        <f t="shared" ref="I74:J75" si="9">I75</f>
        <v>1627.663</v>
      </c>
      <c r="J74" s="269">
        <f t="shared" si="9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5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>H76</f>
        <v>1573.114</v>
      </c>
      <c r="I75" s="529">
        <f t="shared" si="9"/>
        <v>1627.663</v>
      </c>
      <c r="J75" s="269">
        <f t="shared" si="9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1" x14ac:dyDescent="0.25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39" x14ac:dyDescent="0.25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10">H78</f>
        <v>1573.114</v>
      </c>
      <c r="I77" s="529">
        <f t="shared" si="10"/>
        <v>1627.663</v>
      </c>
      <c r="J77" s="269">
        <f t="shared" si="10"/>
        <v>1782.7329999999999</v>
      </c>
      <c r="K77" s="1858">
        <f t="shared" si="10"/>
        <v>1512.6</v>
      </c>
      <c r="L77" s="1858">
        <f t="shared" si="10"/>
        <v>0</v>
      </c>
      <c r="M77" s="1858">
        <f t="shared" si="10"/>
        <v>0</v>
      </c>
      <c r="N77" s="1200">
        <f t="shared" si="10"/>
        <v>1636.039</v>
      </c>
      <c r="O77" s="1858">
        <f t="shared" si="10"/>
        <v>0</v>
      </c>
      <c r="P77" s="1858">
        <f t="shared" si="10"/>
        <v>0</v>
      </c>
      <c r="Q77" s="1858">
        <f t="shared" si="10"/>
        <v>0</v>
      </c>
      <c r="R77" s="1858">
        <f t="shared" si="10"/>
        <v>0</v>
      </c>
      <c r="S77" s="1858">
        <f t="shared" si="10"/>
        <v>0</v>
      </c>
      <c r="T77" s="1858">
        <f t="shared" si="10"/>
        <v>0</v>
      </c>
      <c r="U77" s="1682">
        <f t="shared" si="10"/>
        <v>1701.48</v>
      </c>
    </row>
    <row r="78" spans="1:21" x14ac:dyDescent="0.25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3" x14ac:dyDescent="0.3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11">N80</f>
        <v>0</v>
      </c>
      <c r="O79" s="1860">
        <f t="shared" si="11"/>
        <v>0</v>
      </c>
      <c r="P79" s="1860">
        <f t="shared" si="11"/>
        <v>0</v>
      </c>
      <c r="Q79" s="1860">
        <f t="shared" si="11"/>
        <v>0</v>
      </c>
      <c r="R79" s="1860">
        <f t="shared" si="11"/>
        <v>0</v>
      </c>
      <c r="S79" s="1860">
        <f t="shared" si="11"/>
        <v>0</v>
      </c>
      <c r="T79" s="1860">
        <f t="shared" si="11"/>
        <v>0</v>
      </c>
      <c r="U79" s="1683">
        <f t="shared" si="11"/>
        <v>0</v>
      </c>
    </row>
    <row r="80" spans="1:21" ht="21" x14ac:dyDescent="0.25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11"/>
        <v>0</v>
      </c>
      <c r="O80" s="1858">
        <f t="shared" si="11"/>
        <v>0</v>
      </c>
      <c r="P80" s="1858">
        <f t="shared" si="11"/>
        <v>0</v>
      </c>
      <c r="Q80" s="1858">
        <f t="shared" si="11"/>
        <v>0</v>
      </c>
      <c r="R80" s="1858">
        <f t="shared" si="11"/>
        <v>0</v>
      </c>
      <c r="S80" s="1858">
        <f t="shared" si="11"/>
        <v>0</v>
      </c>
      <c r="T80" s="1858">
        <f t="shared" si="11"/>
        <v>0</v>
      </c>
      <c r="U80" s="1682">
        <f t="shared" si="11"/>
        <v>0</v>
      </c>
    </row>
    <row r="81" spans="1:21" ht="21" x14ac:dyDescent="0.25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11"/>
        <v>0</v>
      </c>
      <c r="O81" s="1858">
        <f t="shared" si="11"/>
        <v>0</v>
      </c>
      <c r="P81" s="1858">
        <f t="shared" si="11"/>
        <v>0</v>
      </c>
      <c r="Q81" s="1858">
        <f t="shared" si="11"/>
        <v>0</v>
      </c>
      <c r="R81" s="1858">
        <f t="shared" si="11"/>
        <v>0</v>
      </c>
      <c r="S81" s="1858">
        <f t="shared" si="11"/>
        <v>0</v>
      </c>
      <c r="T81" s="1858">
        <f t="shared" si="11"/>
        <v>0</v>
      </c>
      <c r="U81" s="1682">
        <f t="shared" si="11"/>
        <v>0</v>
      </c>
    </row>
    <row r="82" spans="1:21" x14ac:dyDescent="0.25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11"/>
        <v>0</v>
      </c>
      <c r="O82" s="1858">
        <f t="shared" si="11"/>
        <v>0</v>
      </c>
      <c r="P82" s="1858">
        <f t="shared" si="11"/>
        <v>0</v>
      </c>
      <c r="Q82" s="1858">
        <f t="shared" si="11"/>
        <v>0</v>
      </c>
      <c r="R82" s="1858">
        <f t="shared" si="11"/>
        <v>0</v>
      </c>
      <c r="S82" s="1858">
        <f t="shared" si="11"/>
        <v>0</v>
      </c>
      <c r="T82" s="1858">
        <f t="shared" si="11"/>
        <v>0</v>
      </c>
      <c r="U82" s="1682">
        <f t="shared" si="11"/>
        <v>0</v>
      </c>
    </row>
    <row r="83" spans="1:21" ht="21" x14ac:dyDescent="0.25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2">N85</f>
        <v>0</v>
      </c>
      <c r="O83" s="1858">
        <f t="shared" si="12"/>
        <v>0</v>
      </c>
      <c r="P83" s="1858">
        <f t="shared" si="12"/>
        <v>0</v>
      </c>
      <c r="Q83" s="1858">
        <f t="shared" si="12"/>
        <v>0</v>
      </c>
      <c r="R83" s="1858">
        <f t="shared" si="12"/>
        <v>0</v>
      </c>
      <c r="S83" s="1858">
        <f t="shared" si="12"/>
        <v>0</v>
      </c>
      <c r="T83" s="1858">
        <f t="shared" si="12"/>
        <v>0</v>
      </c>
      <c r="U83" s="1682">
        <f t="shared" si="12"/>
        <v>0</v>
      </c>
    </row>
    <row r="84" spans="1:21" x14ac:dyDescent="0.25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3">H85</f>
        <v>419.73</v>
      </c>
      <c r="I84" s="529">
        <f t="shared" si="13"/>
        <v>0</v>
      </c>
      <c r="J84" s="269">
        <f t="shared" si="13"/>
        <v>0</v>
      </c>
      <c r="K84" s="1858">
        <f t="shared" si="13"/>
        <v>419.95499999999998</v>
      </c>
      <c r="L84" s="1858">
        <f t="shared" si="13"/>
        <v>0</v>
      </c>
      <c r="M84" s="1858">
        <f t="shared" si="13"/>
        <v>0</v>
      </c>
      <c r="N84" s="1200">
        <f t="shared" si="13"/>
        <v>0</v>
      </c>
      <c r="O84" s="1858">
        <f t="shared" si="13"/>
        <v>0</v>
      </c>
      <c r="P84" s="1858">
        <f t="shared" si="13"/>
        <v>0</v>
      </c>
      <c r="Q84" s="1858">
        <f t="shared" si="13"/>
        <v>0</v>
      </c>
      <c r="R84" s="1858">
        <f t="shared" si="13"/>
        <v>0</v>
      </c>
      <c r="S84" s="1858">
        <f t="shared" si="13"/>
        <v>0</v>
      </c>
      <c r="T84" s="1858">
        <f t="shared" si="13"/>
        <v>0</v>
      </c>
      <c r="U84" s="1682">
        <f t="shared" si="13"/>
        <v>0</v>
      </c>
    </row>
    <row r="85" spans="1:21" x14ac:dyDescent="0.25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ht="13" x14ac:dyDescent="0.3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21" x14ac:dyDescent="0.25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5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5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1" x14ac:dyDescent="0.25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x14ac:dyDescent="0.25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4">H92</f>
        <v>415.5</v>
      </c>
      <c r="I91" s="529">
        <f t="shared" si="14"/>
        <v>0</v>
      </c>
      <c r="J91" s="269">
        <f t="shared" si="14"/>
        <v>0</v>
      </c>
      <c r="K91" s="1858">
        <f t="shared" si="14"/>
        <v>0</v>
      </c>
      <c r="L91" s="1858">
        <f t="shared" si="14"/>
        <v>0</v>
      </c>
      <c r="M91" s="1858">
        <f t="shared" si="14"/>
        <v>0</v>
      </c>
      <c r="N91" s="1200">
        <f t="shared" si="14"/>
        <v>0</v>
      </c>
      <c r="O91" s="1858">
        <f t="shared" si="14"/>
        <v>0</v>
      </c>
      <c r="P91" s="1858">
        <f t="shared" si="14"/>
        <v>0</v>
      </c>
      <c r="Q91" s="1858">
        <f t="shared" si="14"/>
        <v>0</v>
      </c>
      <c r="R91" s="1858">
        <f t="shared" si="14"/>
        <v>0</v>
      </c>
      <c r="S91" s="1858">
        <f t="shared" si="14"/>
        <v>0</v>
      </c>
      <c r="T91" s="1858">
        <f t="shared" si="14"/>
        <v>0</v>
      </c>
      <c r="U91" s="1682">
        <f t="shared" si="14"/>
        <v>0</v>
      </c>
    </row>
    <row r="92" spans="1:21" ht="21" x14ac:dyDescent="0.25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5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5">H94</f>
        <v>2900</v>
      </c>
      <c r="I93" s="841">
        <f t="shared" si="15"/>
        <v>0</v>
      </c>
      <c r="J93" s="276">
        <f t="shared" si="15"/>
        <v>0</v>
      </c>
      <c r="K93" s="1858"/>
      <c r="L93" s="1858"/>
      <c r="M93" s="1858"/>
      <c r="N93" s="1208">
        <f t="shared" ref="N93:N96" si="16">N94</f>
        <v>3200</v>
      </c>
      <c r="O93" s="1858"/>
      <c r="P93" s="1858"/>
      <c r="Q93" s="1858"/>
      <c r="R93" s="1858"/>
      <c r="S93" s="1858"/>
      <c r="T93" s="1858"/>
      <c r="U93" s="1683">
        <f t="shared" ref="U93:U96" si="17">U94</f>
        <v>3180</v>
      </c>
    </row>
    <row r="94" spans="1:21" ht="21" x14ac:dyDescent="0.25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5"/>
        <v>2900</v>
      </c>
      <c r="I94" s="529">
        <f t="shared" si="15"/>
        <v>0</v>
      </c>
      <c r="J94" s="269">
        <f t="shared" si="15"/>
        <v>0</v>
      </c>
      <c r="K94" s="1858"/>
      <c r="L94" s="1858"/>
      <c r="M94" s="1858"/>
      <c r="N94" s="1200">
        <f t="shared" si="16"/>
        <v>3200</v>
      </c>
      <c r="O94" s="1858"/>
      <c r="P94" s="1858"/>
      <c r="Q94" s="1858"/>
      <c r="R94" s="1858"/>
      <c r="S94" s="1858"/>
      <c r="T94" s="1858"/>
      <c r="U94" s="1682">
        <f t="shared" si="17"/>
        <v>3180</v>
      </c>
    </row>
    <row r="95" spans="1:21" x14ac:dyDescent="0.25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5"/>
        <v>2900</v>
      </c>
      <c r="I95" s="529">
        <f t="shared" si="15"/>
        <v>0</v>
      </c>
      <c r="J95" s="269">
        <f t="shared" si="15"/>
        <v>0</v>
      </c>
      <c r="K95" s="1858"/>
      <c r="L95" s="1858"/>
      <c r="M95" s="1858"/>
      <c r="N95" s="1200">
        <f t="shared" si="16"/>
        <v>3200</v>
      </c>
      <c r="O95" s="1858"/>
      <c r="P95" s="1858"/>
      <c r="Q95" s="1858"/>
      <c r="R95" s="1858"/>
      <c r="S95" s="1858"/>
      <c r="T95" s="1858"/>
      <c r="U95" s="1682">
        <f t="shared" si="17"/>
        <v>3180</v>
      </c>
    </row>
    <row r="96" spans="1:21" x14ac:dyDescent="0.25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5"/>
        <v>2900</v>
      </c>
      <c r="I96" s="529">
        <f t="shared" si="15"/>
        <v>0</v>
      </c>
      <c r="J96" s="269">
        <f t="shared" si="15"/>
        <v>0</v>
      </c>
      <c r="K96" s="1858"/>
      <c r="L96" s="1858"/>
      <c r="M96" s="1858"/>
      <c r="N96" s="1200">
        <f t="shared" si="16"/>
        <v>3200</v>
      </c>
      <c r="O96" s="1858"/>
      <c r="P96" s="1858"/>
      <c r="Q96" s="1858"/>
      <c r="R96" s="1858"/>
      <c r="S96" s="1858"/>
      <c r="T96" s="1858"/>
      <c r="U96" s="1682">
        <f t="shared" si="17"/>
        <v>3180</v>
      </c>
    </row>
    <row r="97" spans="1:21" ht="21" x14ac:dyDescent="0.25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5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8">H99</f>
        <v>2900</v>
      </c>
      <c r="I98" s="529">
        <f t="shared" si="18"/>
        <v>0</v>
      </c>
      <c r="J98" s="269">
        <f t="shared" si="18"/>
        <v>0</v>
      </c>
      <c r="K98" s="1858">
        <f t="shared" si="18"/>
        <v>0</v>
      </c>
      <c r="L98" s="1858">
        <f t="shared" si="18"/>
        <v>0</v>
      </c>
      <c r="M98" s="1858">
        <f t="shared" si="18"/>
        <v>0</v>
      </c>
      <c r="N98" s="1200">
        <f t="shared" si="18"/>
        <v>3200</v>
      </c>
      <c r="O98" s="1858">
        <f t="shared" si="18"/>
        <v>0</v>
      </c>
      <c r="P98" s="1858">
        <f t="shared" si="18"/>
        <v>0</v>
      </c>
      <c r="Q98" s="1858">
        <f t="shared" si="18"/>
        <v>0</v>
      </c>
      <c r="R98" s="1858">
        <f t="shared" si="18"/>
        <v>0</v>
      </c>
      <c r="S98" s="1858">
        <f t="shared" si="18"/>
        <v>0</v>
      </c>
      <c r="T98" s="1858">
        <f t="shared" si="18"/>
        <v>0</v>
      </c>
      <c r="U98" s="1682">
        <f t="shared" si="18"/>
        <v>3180</v>
      </c>
    </row>
    <row r="99" spans="1:21" ht="13.5" customHeight="1" x14ac:dyDescent="0.25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5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x14ac:dyDescent="0.25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9">H102</f>
        <v>610</v>
      </c>
      <c r="I101" s="529">
        <f t="shared" si="19"/>
        <v>0</v>
      </c>
      <c r="J101" s="269">
        <f t="shared" si="19"/>
        <v>0</v>
      </c>
      <c r="K101" s="1858"/>
      <c r="L101" s="1858"/>
      <c r="M101" s="1858"/>
      <c r="N101" s="1200">
        <f t="shared" ref="N101:N103" si="20">N102</f>
        <v>560</v>
      </c>
      <c r="O101" s="1858"/>
      <c r="P101" s="1858"/>
      <c r="Q101" s="1858"/>
      <c r="R101" s="1858"/>
      <c r="S101" s="1858"/>
      <c r="T101" s="1858"/>
      <c r="U101" s="1682">
        <f t="shared" ref="U101:U103" si="21">U102</f>
        <v>660</v>
      </c>
    </row>
    <row r="102" spans="1:21" x14ac:dyDescent="0.25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9"/>
        <v>610</v>
      </c>
      <c r="I102" s="529">
        <f t="shared" si="19"/>
        <v>0</v>
      </c>
      <c r="J102" s="269">
        <f t="shared" si="19"/>
        <v>0</v>
      </c>
      <c r="K102" s="1858"/>
      <c r="L102" s="1858"/>
      <c r="M102" s="1858"/>
      <c r="N102" s="1200">
        <f t="shared" si="20"/>
        <v>560</v>
      </c>
      <c r="O102" s="1858"/>
      <c r="P102" s="1858"/>
      <c r="Q102" s="1858"/>
      <c r="R102" s="1858"/>
      <c r="S102" s="1858"/>
      <c r="T102" s="1858"/>
      <c r="U102" s="1682">
        <f t="shared" si="21"/>
        <v>660</v>
      </c>
    </row>
    <row r="103" spans="1:21" x14ac:dyDescent="0.25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9"/>
        <v>610</v>
      </c>
      <c r="I103" s="529">
        <f t="shared" si="19"/>
        <v>0</v>
      </c>
      <c r="J103" s="269">
        <f t="shared" si="19"/>
        <v>0</v>
      </c>
      <c r="K103" s="1858"/>
      <c r="L103" s="1858"/>
      <c r="M103" s="1858"/>
      <c r="N103" s="1200">
        <f t="shared" si="20"/>
        <v>560</v>
      </c>
      <c r="O103" s="1858"/>
      <c r="P103" s="1858"/>
      <c r="Q103" s="1858"/>
      <c r="R103" s="1858"/>
      <c r="S103" s="1858"/>
      <c r="T103" s="1858"/>
      <c r="U103" s="1682">
        <f t="shared" si="21"/>
        <v>660</v>
      </c>
    </row>
    <row r="104" spans="1:21" x14ac:dyDescent="0.25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x14ac:dyDescent="0.25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22">H106</f>
        <v>500</v>
      </c>
      <c r="I105" s="529">
        <f t="shared" si="22"/>
        <v>0</v>
      </c>
      <c r="J105" s="269">
        <f t="shared" si="22"/>
        <v>0</v>
      </c>
      <c r="K105" s="1858">
        <f t="shared" si="22"/>
        <v>0</v>
      </c>
      <c r="L105" s="1858">
        <f t="shared" si="22"/>
        <v>0</v>
      </c>
      <c r="M105" s="1858">
        <f t="shared" si="22"/>
        <v>0</v>
      </c>
      <c r="N105" s="1200">
        <f t="shared" si="22"/>
        <v>550</v>
      </c>
      <c r="O105" s="1858">
        <f t="shared" si="22"/>
        <v>0</v>
      </c>
      <c r="P105" s="1858">
        <f t="shared" si="22"/>
        <v>0</v>
      </c>
      <c r="Q105" s="1858">
        <f t="shared" si="22"/>
        <v>0</v>
      </c>
      <c r="R105" s="1858">
        <f t="shared" si="22"/>
        <v>0</v>
      </c>
      <c r="S105" s="1858">
        <f t="shared" si="22"/>
        <v>0</v>
      </c>
      <c r="T105" s="1858">
        <f t="shared" si="22"/>
        <v>0</v>
      </c>
      <c r="U105" s="1682">
        <f t="shared" si="22"/>
        <v>650</v>
      </c>
    </row>
    <row r="106" spans="1:21" ht="21" x14ac:dyDescent="0.25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5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23">N108+N109</f>
        <v>50</v>
      </c>
      <c r="O107" s="1858">
        <f t="shared" si="23"/>
        <v>0</v>
      </c>
      <c r="P107" s="1858">
        <f t="shared" si="23"/>
        <v>0</v>
      </c>
      <c r="Q107" s="1858">
        <f t="shared" si="23"/>
        <v>0</v>
      </c>
      <c r="R107" s="1858">
        <f t="shared" si="23"/>
        <v>0</v>
      </c>
      <c r="S107" s="1858">
        <f t="shared" si="23"/>
        <v>0</v>
      </c>
      <c r="T107" s="1858">
        <f t="shared" si="23"/>
        <v>0</v>
      </c>
      <c r="U107" s="1682">
        <f t="shared" si="23"/>
        <v>50</v>
      </c>
    </row>
    <row r="108" spans="1:21" x14ac:dyDescent="0.25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5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21" hidden="1" x14ac:dyDescent="0.25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24">H111</f>
        <v>0</v>
      </c>
      <c r="I110" s="841">
        <f t="shared" si="24"/>
        <v>598.5</v>
      </c>
      <c r="J110" s="276">
        <f t="shared" si="24"/>
        <v>598.5</v>
      </c>
      <c r="K110" s="1858"/>
      <c r="L110" s="1858"/>
      <c r="M110" s="1858"/>
      <c r="N110" s="1208">
        <f t="shared" ref="N110:N111" si="25">N111</f>
        <v>0</v>
      </c>
      <c r="O110" s="1858"/>
      <c r="P110" s="1858"/>
      <c r="Q110" s="1858"/>
      <c r="R110" s="1858"/>
      <c r="S110" s="1858"/>
      <c r="T110" s="1858"/>
      <c r="U110" s="1683">
        <f t="shared" ref="U110:U111" si="26">U111</f>
        <v>0</v>
      </c>
    </row>
    <row r="111" spans="1:21" hidden="1" x14ac:dyDescent="0.25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24"/>
        <v>0</v>
      </c>
      <c r="I111" s="529">
        <f t="shared" si="24"/>
        <v>598.5</v>
      </c>
      <c r="J111" s="269">
        <f t="shared" si="24"/>
        <v>598.5</v>
      </c>
      <c r="K111" s="1858"/>
      <c r="L111" s="1858"/>
      <c r="M111" s="1858"/>
      <c r="N111" s="1200">
        <f t="shared" si="25"/>
        <v>0</v>
      </c>
      <c r="O111" s="1858"/>
      <c r="P111" s="1858"/>
      <c r="Q111" s="1858"/>
      <c r="R111" s="1858"/>
      <c r="S111" s="1858"/>
      <c r="T111" s="1858"/>
      <c r="U111" s="1682">
        <f t="shared" si="26"/>
        <v>0</v>
      </c>
    </row>
    <row r="112" spans="1:21" hidden="1" x14ac:dyDescent="0.25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5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5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1" hidden="1" x14ac:dyDescent="0.25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5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2" hidden="1" x14ac:dyDescent="0.25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5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1" hidden="1" x14ac:dyDescent="0.25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5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27">I121</f>
        <v>0</v>
      </c>
      <c r="J120" s="276">
        <f t="shared" si="27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5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27"/>
        <v>0</v>
      </c>
      <c r="J121" s="276">
        <f t="shared" si="27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21" x14ac:dyDescent="0.25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27"/>
        <v>0</v>
      </c>
      <c r="J122" s="276">
        <f t="shared" si="27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5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27"/>
        <v>0</v>
      </c>
      <c r="J123" s="269">
        <f t="shared" si="27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5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27"/>
        <v>0</v>
      </c>
      <c r="J124" s="269">
        <f t="shared" si="27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1" x14ac:dyDescent="0.25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39" x14ac:dyDescent="0.25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8">H127</f>
        <v>839.40899999999999</v>
      </c>
      <c r="I126" s="529">
        <f t="shared" si="28"/>
        <v>0</v>
      </c>
      <c r="J126" s="269">
        <f t="shared" si="28"/>
        <v>0</v>
      </c>
      <c r="K126" s="1858">
        <f t="shared" si="28"/>
        <v>0</v>
      </c>
      <c r="L126" s="1858">
        <f t="shared" si="28"/>
        <v>0</v>
      </c>
      <c r="M126" s="1858">
        <f t="shared" si="28"/>
        <v>0</v>
      </c>
      <c r="N126" s="1200">
        <f t="shared" si="28"/>
        <v>872.98599999999999</v>
      </c>
      <c r="O126" s="1858">
        <f t="shared" si="28"/>
        <v>0</v>
      </c>
      <c r="P126" s="1858">
        <f t="shared" si="28"/>
        <v>0</v>
      </c>
      <c r="Q126" s="1858">
        <f t="shared" si="28"/>
        <v>0</v>
      </c>
      <c r="R126" s="1858">
        <f t="shared" si="28"/>
        <v>0</v>
      </c>
      <c r="S126" s="1858">
        <f t="shared" si="28"/>
        <v>0</v>
      </c>
      <c r="T126" s="1858">
        <f t="shared" si="28"/>
        <v>0</v>
      </c>
      <c r="U126" s="1682">
        <f t="shared" si="28"/>
        <v>0</v>
      </c>
    </row>
    <row r="127" spans="1:25" x14ac:dyDescent="0.25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x14ac:dyDescent="0.25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9">H129</f>
        <v>4.7910000000000004</v>
      </c>
      <c r="I128" s="529">
        <f t="shared" si="29"/>
        <v>0</v>
      </c>
      <c r="J128" s="269">
        <f t="shared" si="29"/>
        <v>0</v>
      </c>
      <c r="K128" s="1858">
        <f t="shared" si="29"/>
        <v>0</v>
      </c>
      <c r="L128" s="1858">
        <f t="shared" si="29"/>
        <v>0</v>
      </c>
      <c r="M128" s="1858">
        <f t="shared" si="29"/>
        <v>0</v>
      </c>
      <c r="N128" s="1200">
        <f t="shared" si="29"/>
        <v>1.4139999999999999</v>
      </c>
      <c r="O128" s="1858">
        <f t="shared" si="29"/>
        <v>0</v>
      </c>
      <c r="P128" s="1858">
        <f t="shared" si="29"/>
        <v>0</v>
      </c>
      <c r="Q128" s="1858">
        <f t="shared" si="29"/>
        <v>0</v>
      </c>
      <c r="R128" s="1858">
        <f t="shared" si="29"/>
        <v>0</v>
      </c>
      <c r="S128" s="1858">
        <f t="shared" si="29"/>
        <v>0</v>
      </c>
      <c r="T128" s="1858">
        <f t="shared" si="29"/>
        <v>0</v>
      </c>
      <c r="U128" s="1682">
        <f t="shared" si="29"/>
        <v>0</v>
      </c>
      <c r="V128" s="2"/>
      <c r="W128" s="2"/>
      <c r="X128" s="2"/>
    </row>
    <row r="129" spans="1:24" ht="21" x14ac:dyDescent="0.25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5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3" x14ac:dyDescent="0.25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1" x14ac:dyDescent="0.25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3" customHeight="1" x14ac:dyDescent="0.25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21" x14ac:dyDescent="0.25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1" x14ac:dyDescent="0.25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x14ac:dyDescent="0.25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30">H137</f>
        <v>10</v>
      </c>
      <c r="I136" s="529">
        <f t="shared" si="30"/>
        <v>0</v>
      </c>
      <c r="J136" s="269">
        <f t="shared" si="30"/>
        <v>0</v>
      </c>
      <c r="K136" s="1858">
        <f t="shared" si="30"/>
        <v>0</v>
      </c>
      <c r="L136" s="1858">
        <f t="shared" si="30"/>
        <v>0</v>
      </c>
      <c r="M136" s="1858">
        <f t="shared" si="30"/>
        <v>0</v>
      </c>
      <c r="N136" s="1200">
        <f t="shared" si="30"/>
        <v>20</v>
      </c>
      <c r="O136" s="1858">
        <f t="shared" si="30"/>
        <v>0</v>
      </c>
      <c r="P136" s="1858">
        <f t="shared" si="30"/>
        <v>0</v>
      </c>
      <c r="Q136" s="1858">
        <f t="shared" si="30"/>
        <v>0</v>
      </c>
      <c r="R136" s="1858">
        <f t="shared" si="30"/>
        <v>0</v>
      </c>
      <c r="S136" s="1858">
        <f t="shared" si="30"/>
        <v>0</v>
      </c>
      <c r="T136" s="1858">
        <f t="shared" si="30"/>
        <v>0</v>
      </c>
      <c r="U136" s="1682">
        <f t="shared" si="30"/>
        <v>30</v>
      </c>
    </row>
    <row r="137" spans="1:24" ht="21" x14ac:dyDescent="0.25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5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1" hidden="1" x14ac:dyDescent="0.25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5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1" hidden="1" x14ac:dyDescent="0.25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5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5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x14ac:dyDescent="0.25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31">H145</f>
        <v>220</v>
      </c>
      <c r="I144" s="529">
        <f t="shared" si="31"/>
        <v>0</v>
      </c>
      <c r="J144" s="269">
        <f t="shared" si="31"/>
        <v>0</v>
      </c>
      <c r="K144" s="1858">
        <f t="shared" si="31"/>
        <v>0</v>
      </c>
      <c r="L144" s="1858">
        <f t="shared" si="31"/>
        <v>0</v>
      </c>
      <c r="M144" s="1858">
        <f t="shared" si="31"/>
        <v>0</v>
      </c>
      <c r="N144" s="1200">
        <f t="shared" si="31"/>
        <v>270</v>
      </c>
      <c r="O144" s="1858">
        <f t="shared" si="31"/>
        <v>0</v>
      </c>
      <c r="P144" s="1858">
        <f t="shared" si="31"/>
        <v>0</v>
      </c>
      <c r="Q144" s="1858">
        <f t="shared" si="31"/>
        <v>0</v>
      </c>
      <c r="R144" s="1858">
        <f t="shared" si="31"/>
        <v>0</v>
      </c>
      <c r="S144" s="1858">
        <f t="shared" si="31"/>
        <v>0</v>
      </c>
      <c r="T144" s="1858">
        <f t="shared" si="31"/>
        <v>0</v>
      </c>
      <c r="U144" s="1682">
        <f t="shared" si="31"/>
        <v>320</v>
      </c>
    </row>
    <row r="145" spans="1:25" ht="21" x14ac:dyDescent="0.25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1" hidden="1" x14ac:dyDescent="0.25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5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1" x14ac:dyDescent="0.25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5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x14ac:dyDescent="0.25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32">H151</f>
        <v>196</v>
      </c>
      <c r="I150" s="529">
        <f t="shared" si="32"/>
        <v>0</v>
      </c>
      <c r="J150" s="269">
        <f t="shared" si="32"/>
        <v>0</v>
      </c>
      <c r="K150" s="1858">
        <f t="shared" si="32"/>
        <v>0</v>
      </c>
      <c r="L150" s="1858">
        <f t="shared" si="32"/>
        <v>0</v>
      </c>
      <c r="M150" s="1858">
        <f t="shared" si="32"/>
        <v>0</v>
      </c>
      <c r="N150" s="1200">
        <f t="shared" si="32"/>
        <v>212</v>
      </c>
      <c r="O150" s="1858">
        <f t="shared" si="32"/>
        <v>0</v>
      </c>
      <c r="P150" s="1858">
        <f t="shared" si="32"/>
        <v>0</v>
      </c>
      <c r="Q150" s="1858">
        <f t="shared" si="32"/>
        <v>0</v>
      </c>
      <c r="R150" s="1858">
        <f t="shared" si="32"/>
        <v>0</v>
      </c>
      <c r="S150" s="1858">
        <f t="shared" si="32"/>
        <v>0</v>
      </c>
      <c r="T150" s="1858">
        <f t="shared" si="32"/>
        <v>0</v>
      </c>
      <c r="U150" s="1682">
        <f t="shared" si="32"/>
        <v>228.61</v>
      </c>
    </row>
    <row r="151" spans="1:25" ht="21" x14ac:dyDescent="0.25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21" hidden="1" x14ac:dyDescent="0.25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5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5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5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5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5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5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5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5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 t="shared" ref="I160:J161" si="33">I161</f>
        <v>0</v>
      </c>
      <c r="J160" s="276">
        <f t="shared" si="33"/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1.5" x14ac:dyDescent="0.25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 t="shared" si="33"/>
        <v>0</v>
      </c>
      <c r="J161" s="269">
        <f t="shared" si="33"/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5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x14ac:dyDescent="0.25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34">H164</f>
        <v>7.04</v>
      </c>
      <c r="I163" s="529">
        <f t="shared" si="34"/>
        <v>0</v>
      </c>
      <c r="J163" s="269">
        <f t="shared" si="34"/>
        <v>0</v>
      </c>
      <c r="K163" s="1858">
        <f t="shared" si="34"/>
        <v>0</v>
      </c>
      <c r="L163" s="1858">
        <f t="shared" si="34"/>
        <v>0</v>
      </c>
      <c r="M163" s="1858">
        <f t="shared" si="34"/>
        <v>0</v>
      </c>
      <c r="N163" s="1200">
        <f t="shared" si="34"/>
        <v>7.04</v>
      </c>
      <c r="O163" s="1858">
        <f t="shared" si="34"/>
        <v>0</v>
      </c>
      <c r="P163" s="1858">
        <f t="shared" si="34"/>
        <v>0</v>
      </c>
      <c r="Q163" s="1858">
        <f t="shared" si="34"/>
        <v>0</v>
      </c>
      <c r="R163" s="1858">
        <f t="shared" si="34"/>
        <v>0</v>
      </c>
      <c r="S163" s="1858">
        <f t="shared" si="34"/>
        <v>0</v>
      </c>
      <c r="T163" s="1858">
        <f t="shared" si="34"/>
        <v>0</v>
      </c>
      <c r="U163" s="1682">
        <f t="shared" si="34"/>
        <v>7.04</v>
      </c>
    </row>
    <row r="164" spans="1:24" ht="21" x14ac:dyDescent="0.25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5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5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5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1" x14ac:dyDescent="0.25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2.5" x14ac:dyDescent="0.25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5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idden="1" x14ac:dyDescent="0.25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35">H172</f>
        <v>0</v>
      </c>
      <c r="I171" s="529">
        <f t="shared" si="35"/>
        <v>0</v>
      </c>
      <c r="J171" s="404">
        <f t="shared" si="35"/>
        <v>0</v>
      </c>
      <c r="K171" s="1858">
        <f t="shared" si="35"/>
        <v>0</v>
      </c>
      <c r="L171" s="1858">
        <f t="shared" si="35"/>
        <v>0</v>
      </c>
      <c r="M171" s="1858">
        <f t="shared" si="35"/>
        <v>0</v>
      </c>
      <c r="N171" s="1200">
        <f t="shared" si="35"/>
        <v>0</v>
      </c>
      <c r="O171" s="1858">
        <f t="shared" si="35"/>
        <v>0</v>
      </c>
      <c r="P171" s="1858">
        <f t="shared" si="35"/>
        <v>0</v>
      </c>
      <c r="Q171" s="1858">
        <f t="shared" si="35"/>
        <v>0</v>
      </c>
      <c r="R171" s="1858">
        <f t="shared" si="35"/>
        <v>0</v>
      </c>
      <c r="S171" s="1858">
        <f t="shared" si="35"/>
        <v>0</v>
      </c>
      <c r="T171" s="1858">
        <f t="shared" si="35"/>
        <v>0</v>
      </c>
      <c r="U171" s="1682">
        <f t="shared" si="35"/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1" x14ac:dyDescent="0.25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x14ac:dyDescent="0.25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36">H175</f>
        <v>1331.5219999999999</v>
      </c>
      <c r="I174" s="529">
        <f t="shared" si="36"/>
        <v>0</v>
      </c>
      <c r="J174" s="269">
        <f t="shared" si="36"/>
        <v>0</v>
      </c>
      <c r="K174" s="1858">
        <f t="shared" si="36"/>
        <v>0</v>
      </c>
      <c r="L174" s="1858">
        <f t="shared" si="36"/>
        <v>0</v>
      </c>
      <c r="M174" s="1858">
        <f t="shared" si="36"/>
        <v>0</v>
      </c>
      <c r="N174" s="1200">
        <f t="shared" si="36"/>
        <v>1337.2219999999998</v>
      </c>
      <c r="O174" s="1858">
        <f t="shared" si="36"/>
        <v>0</v>
      </c>
      <c r="P174" s="1858">
        <f t="shared" si="36"/>
        <v>0</v>
      </c>
      <c r="Q174" s="1858">
        <f t="shared" si="36"/>
        <v>0</v>
      </c>
      <c r="R174" s="1858">
        <f t="shared" si="36"/>
        <v>0</v>
      </c>
      <c r="S174" s="1858">
        <f t="shared" si="36"/>
        <v>0</v>
      </c>
      <c r="T174" s="1858">
        <f t="shared" si="36"/>
        <v>0</v>
      </c>
      <c r="U174" s="1682">
        <f t="shared" si="36"/>
        <v>0</v>
      </c>
    </row>
    <row r="175" spans="1:24" ht="21" x14ac:dyDescent="0.25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6" x14ac:dyDescent="0.3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x14ac:dyDescent="0.25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1" x14ac:dyDescent="0.25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1.5" x14ac:dyDescent="0.25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x14ac:dyDescent="0.25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5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1" hidden="1" x14ac:dyDescent="0.25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1" x14ac:dyDescent="0.25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x14ac:dyDescent="0.25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37">H185</f>
        <v>365.678</v>
      </c>
      <c r="I184" s="529">
        <f t="shared" si="37"/>
        <v>0</v>
      </c>
      <c r="J184" s="269">
        <f t="shared" si="37"/>
        <v>0</v>
      </c>
      <c r="K184" s="1858">
        <f t="shared" si="37"/>
        <v>0</v>
      </c>
      <c r="L184" s="1858">
        <f t="shared" si="37"/>
        <v>0</v>
      </c>
      <c r="M184" s="1858">
        <f t="shared" si="37"/>
        <v>0</v>
      </c>
      <c r="N184" s="1200">
        <f t="shared" si="37"/>
        <v>519.97799999999995</v>
      </c>
      <c r="O184" s="1858">
        <f t="shared" si="37"/>
        <v>0</v>
      </c>
      <c r="P184" s="1858">
        <f t="shared" si="37"/>
        <v>0</v>
      </c>
      <c r="Q184" s="1858">
        <f t="shared" si="37"/>
        <v>0</v>
      </c>
      <c r="R184" s="1858">
        <f t="shared" si="37"/>
        <v>0</v>
      </c>
      <c r="S184" s="1858">
        <f t="shared" si="37"/>
        <v>0</v>
      </c>
      <c r="T184" s="1858">
        <f t="shared" si="37"/>
        <v>0</v>
      </c>
      <c r="U184" s="1682">
        <f t="shared" si="37"/>
        <v>1210</v>
      </c>
    </row>
    <row r="185" spans="1:24" ht="21" x14ac:dyDescent="0.25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5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1" hidden="1" x14ac:dyDescent="0.25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1.5" hidden="1" x14ac:dyDescent="0.25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38">H189</f>
        <v>0</v>
      </c>
      <c r="I188" s="529">
        <f t="shared" si="38"/>
        <v>0</v>
      </c>
      <c r="J188" s="269">
        <f t="shared" si="38"/>
        <v>0</v>
      </c>
      <c r="K188" s="1858"/>
      <c r="L188" s="1858"/>
      <c r="M188" s="1858"/>
      <c r="N188" s="1200">
        <f t="shared" ref="N188:N189" si="39">N189</f>
        <v>0</v>
      </c>
      <c r="O188" s="1858"/>
      <c r="P188" s="1858"/>
      <c r="Q188" s="1858"/>
      <c r="R188" s="1858"/>
      <c r="S188" s="1858"/>
      <c r="T188" s="1858"/>
      <c r="U188" s="1682">
        <f t="shared" ref="U188:U189" si="40">U189</f>
        <v>0</v>
      </c>
    </row>
    <row r="189" spans="1:24" ht="31.5" hidden="1" x14ac:dyDescent="0.25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38"/>
        <v>0</v>
      </c>
      <c r="I189" s="529">
        <f t="shared" si="38"/>
        <v>0</v>
      </c>
      <c r="J189" s="269">
        <f t="shared" si="38"/>
        <v>0</v>
      </c>
      <c r="K189" s="1858"/>
      <c r="L189" s="1858"/>
      <c r="M189" s="1858"/>
      <c r="N189" s="1200">
        <f t="shared" si="39"/>
        <v>0</v>
      </c>
      <c r="O189" s="1858"/>
      <c r="P189" s="1858"/>
      <c r="Q189" s="1858"/>
      <c r="R189" s="1858"/>
      <c r="S189" s="1858"/>
      <c r="T189" s="1858"/>
      <c r="U189" s="1682">
        <f t="shared" si="40"/>
        <v>0</v>
      </c>
    </row>
    <row r="190" spans="1:24" hidden="1" x14ac:dyDescent="0.25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2" hidden="1" x14ac:dyDescent="0.25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1" hidden="1" x14ac:dyDescent="0.25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1" hidden="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1.5" hidden="1" x14ac:dyDescent="0.25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1" hidden="1" x14ac:dyDescent="0.25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31.5" hidden="1" x14ac:dyDescent="0.25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1" hidden="1" x14ac:dyDescent="0.25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21" hidden="1" x14ac:dyDescent="0.25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41">H199</f>
        <v>0</v>
      </c>
      <c r="I198" s="841">
        <f t="shared" si="41"/>
        <v>0</v>
      </c>
      <c r="J198" s="276">
        <f t="shared" si="41"/>
        <v>0</v>
      </c>
      <c r="K198" s="1858"/>
      <c r="L198" s="1858"/>
      <c r="M198" s="1858"/>
      <c r="N198" s="1200">
        <f t="shared" ref="N198:N201" si="42">N199</f>
        <v>0</v>
      </c>
      <c r="O198" s="1858"/>
      <c r="P198" s="1858"/>
      <c r="Q198" s="1858"/>
      <c r="R198" s="1858"/>
      <c r="S198" s="1858"/>
      <c r="T198" s="1858"/>
      <c r="U198" s="1682">
        <f t="shared" ref="U198:U201" si="43">U199</f>
        <v>0</v>
      </c>
    </row>
    <row r="199" spans="1:21" hidden="1" x14ac:dyDescent="0.25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41"/>
        <v>0</v>
      </c>
      <c r="I199" s="841">
        <f t="shared" si="41"/>
        <v>0</v>
      </c>
      <c r="J199" s="276">
        <f t="shared" si="41"/>
        <v>0</v>
      </c>
      <c r="K199" s="1858"/>
      <c r="L199" s="1858"/>
      <c r="M199" s="1858"/>
      <c r="N199" s="1200">
        <f t="shared" si="42"/>
        <v>0</v>
      </c>
      <c r="O199" s="1858"/>
      <c r="P199" s="1858"/>
      <c r="Q199" s="1858"/>
      <c r="R199" s="1858"/>
      <c r="S199" s="1858"/>
      <c r="T199" s="1858"/>
      <c r="U199" s="1682">
        <f t="shared" si="43"/>
        <v>0</v>
      </c>
    </row>
    <row r="200" spans="1:21" hidden="1" x14ac:dyDescent="0.25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41"/>
        <v>0</v>
      </c>
      <c r="J200" s="276">
        <f t="shared" si="41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1" hidden="1" x14ac:dyDescent="0.25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41"/>
        <v>0</v>
      </c>
      <c r="I201" s="529">
        <f t="shared" si="41"/>
        <v>0</v>
      </c>
      <c r="J201" s="269">
        <f t="shared" si="41"/>
        <v>0</v>
      </c>
      <c r="K201" s="1858"/>
      <c r="L201" s="1858"/>
      <c r="M201" s="1858"/>
      <c r="N201" s="1200">
        <f t="shared" si="42"/>
        <v>0</v>
      </c>
      <c r="O201" s="1858"/>
      <c r="P201" s="1858"/>
      <c r="Q201" s="1858"/>
      <c r="R201" s="1858"/>
      <c r="S201" s="1858"/>
      <c r="T201" s="1858"/>
      <c r="U201" s="1682">
        <f t="shared" si="43"/>
        <v>0</v>
      </c>
    </row>
    <row r="202" spans="1:21" ht="21" hidden="1" x14ac:dyDescent="0.25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5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1.5" x14ac:dyDescent="0.25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44">H205</f>
        <v>330</v>
      </c>
      <c r="I204" s="529">
        <f t="shared" si="44"/>
        <v>0</v>
      </c>
      <c r="J204" s="270">
        <f t="shared" si="44"/>
        <v>0</v>
      </c>
      <c r="K204" s="1862">
        <f>330</f>
        <v>330</v>
      </c>
      <c r="L204" s="1858"/>
      <c r="M204" s="1858"/>
      <c r="N204" s="1200">
        <f t="shared" ref="N204:N205" si="45">N205</f>
        <v>350</v>
      </c>
      <c r="O204" s="1858"/>
      <c r="P204" s="1858"/>
      <c r="Q204" s="1858"/>
      <c r="R204" s="1858"/>
      <c r="S204" s="1858"/>
      <c r="T204" s="1858"/>
      <c r="U204" s="1682">
        <f t="shared" ref="U204:U205" si="46">U205</f>
        <v>370</v>
      </c>
    </row>
    <row r="205" spans="1:21" ht="31.5" x14ac:dyDescent="0.25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44"/>
        <v>330</v>
      </c>
      <c r="I205" s="529">
        <f t="shared" si="44"/>
        <v>0</v>
      </c>
      <c r="J205" s="270">
        <f t="shared" si="44"/>
        <v>0</v>
      </c>
      <c r="K205" s="1858"/>
      <c r="L205" s="1858"/>
      <c r="M205" s="1858"/>
      <c r="N205" s="1200">
        <f t="shared" si="45"/>
        <v>350</v>
      </c>
      <c r="O205" s="1858"/>
      <c r="P205" s="1858"/>
      <c r="Q205" s="1858"/>
      <c r="R205" s="1858"/>
      <c r="S205" s="1858"/>
      <c r="T205" s="1858"/>
      <c r="U205" s="1682">
        <f t="shared" si="46"/>
        <v>370</v>
      </c>
    </row>
    <row r="206" spans="1:21" ht="21" x14ac:dyDescent="0.25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x14ac:dyDescent="0.25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47">H208</f>
        <v>330</v>
      </c>
      <c r="I207" s="529">
        <f t="shared" si="47"/>
        <v>0</v>
      </c>
      <c r="J207" s="404">
        <f t="shared" si="47"/>
        <v>0</v>
      </c>
      <c r="K207" s="1858">
        <f t="shared" si="47"/>
        <v>0</v>
      </c>
      <c r="L207" s="1858">
        <f t="shared" si="47"/>
        <v>0</v>
      </c>
      <c r="M207" s="1858">
        <f t="shared" si="47"/>
        <v>0</v>
      </c>
      <c r="N207" s="1200">
        <f t="shared" si="47"/>
        <v>350</v>
      </c>
      <c r="O207" s="1858">
        <f t="shared" si="47"/>
        <v>0</v>
      </c>
      <c r="P207" s="1858">
        <f t="shared" si="47"/>
        <v>0</v>
      </c>
      <c r="Q207" s="1858">
        <f t="shared" si="47"/>
        <v>0</v>
      </c>
      <c r="R207" s="1858">
        <f t="shared" si="47"/>
        <v>0</v>
      </c>
      <c r="S207" s="1858">
        <f t="shared" si="47"/>
        <v>0</v>
      </c>
      <c r="T207" s="1858">
        <f t="shared" si="47"/>
        <v>0</v>
      </c>
      <c r="U207" s="1682">
        <f t="shared" si="47"/>
        <v>370</v>
      </c>
    </row>
    <row r="208" spans="1:21" ht="21" x14ac:dyDescent="0.25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21" x14ac:dyDescent="0.25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48">I210</f>
        <v>0</v>
      </c>
      <c r="J209" s="270">
        <f t="shared" si="48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5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48"/>
        <v>3797.134</v>
      </c>
      <c r="I210" s="529">
        <f t="shared" si="48"/>
        <v>0</v>
      </c>
      <c r="J210" s="270">
        <f t="shared" si="48"/>
        <v>0</v>
      </c>
      <c r="K210" s="1858"/>
      <c r="L210" s="1858"/>
      <c r="M210" s="1858"/>
      <c r="N210" s="1200">
        <f t="shared" ref="N210" si="49">N211</f>
        <v>2537.2280000000001</v>
      </c>
      <c r="O210" s="1858"/>
      <c r="P210" s="1858"/>
      <c r="Q210" s="1858"/>
      <c r="R210" s="1858"/>
      <c r="S210" s="1858"/>
      <c r="T210" s="1858"/>
      <c r="U210" s="1682">
        <f t="shared" ref="U210" si="50">U211</f>
        <v>1491.232</v>
      </c>
    </row>
    <row r="211" spans="1:21" x14ac:dyDescent="0.25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5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x14ac:dyDescent="0.25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51">H214</f>
        <v>2098.3339999999998</v>
      </c>
      <c r="I213" s="529">
        <f t="shared" si="51"/>
        <v>0</v>
      </c>
      <c r="J213" s="270">
        <f t="shared" si="51"/>
        <v>0</v>
      </c>
      <c r="K213" s="1858">
        <f t="shared" si="51"/>
        <v>0</v>
      </c>
      <c r="L213" s="1858">
        <f t="shared" si="51"/>
        <v>0</v>
      </c>
      <c r="M213" s="1858">
        <f t="shared" si="51"/>
        <v>0</v>
      </c>
      <c r="N213" s="1200">
        <f t="shared" si="51"/>
        <v>1174.2539999999999</v>
      </c>
      <c r="O213" s="1858">
        <f t="shared" si="51"/>
        <v>0</v>
      </c>
      <c r="P213" s="1858">
        <f t="shared" si="51"/>
        <v>0</v>
      </c>
      <c r="Q213" s="1858">
        <f t="shared" si="51"/>
        <v>0</v>
      </c>
      <c r="R213" s="1858">
        <f t="shared" si="51"/>
        <v>0</v>
      </c>
      <c r="S213" s="1858">
        <f t="shared" si="51"/>
        <v>0</v>
      </c>
      <c r="T213" s="1858">
        <f t="shared" si="51"/>
        <v>0</v>
      </c>
      <c r="U213" s="1682">
        <f t="shared" si="51"/>
        <v>722.18</v>
      </c>
    </row>
    <row r="214" spans="1:21" ht="21" x14ac:dyDescent="0.25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5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x14ac:dyDescent="0.25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52">H217</f>
        <v>94.8</v>
      </c>
      <c r="I216" s="529">
        <f t="shared" si="52"/>
        <v>0</v>
      </c>
      <c r="J216" s="404">
        <f t="shared" si="52"/>
        <v>0</v>
      </c>
      <c r="K216" s="1858">
        <f t="shared" si="52"/>
        <v>94.8</v>
      </c>
      <c r="L216" s="1858">
        <f t="shared" si="52"/>
        <v>0</v>
      </c>
      <c r="M216" s="1858">
        <f t="shared" si="52"/>
        <v>0</v>
      </c>
      <c r="N216" s="1200">
        <f t="shared" si="52"/>
        <v>94.8</v>
      </c>
      <c r="O216" s="1858">
        <f t="shared" si="52"/>
        <v>0</v>
      </c>
      <c r="P216" s="1858">
        <f t="shared" si="52"/>
        <v>0</v>
      </c>
      <c r="Q216" s="1858">
        <f t="shared" si="52"/>
        <v>0</v>
      </c>
      <c r="R216" s="1858">
        <f t="shared" si="52"/>
        <v>0</v>
      </c>
      <c r="S216" s="1858">
        <f t="shared" si="52"/>
        <v>0</v>
      </c>
      <c r="T216" s="1858">
        <f t="shared" si="52"/>
        <v>0</v>
      </c>
      <c r="U216" s="1682">
        <f t="shared" si="52"/>
        <v>94.8</v>
      </c>
    </row>
    <row r="217" spans="1:21" ht="21" x14ac:dyDescent="0.25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5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x14ac:dyDescent="0.25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53">H220</f>
        <v>1604</v>
      </c>
      <c r="I219" s="529">
        <f t="shared" si="53"/>
        <v>0</v>
      </c>
      <c r="J219" s="269">
        <f t="shared" si="53"/>
        <v>0</v>
      </c>
      <c r="K219" s="1858">
        <f t="shared" si="53"/>
        <v>0</v>
      </c>
      <c r="L219" s="1858">
        <f t="shared" si="53"/>
        <v>0</v>
      </c>
      <c r="M219" s="1858">
        <f t="shared" si="53"/>
        <v>0</v>
      </c>
      <c r="N219" s="1200">
        <f t="shared" si="53"/>
        <v>1268.174</v>
      </c>
      <c r="O219" s="1858">
        <f t="shared" si="53"/>
        <v>0</v>
      </c>
      <c r="P219" s="1858">
        <f t="shared" si="53"/>
        <v>0</v>
      </c>
      <c r="Q219" s="1858">
        <f t="shared" si="53"/>
        <v>0</v>
      </c>
      <c r="R219" s="1858">
        <f t="shared" si="53"/>
        <v>0</v>
      </c>
      <c r="S219" s="1858">
        <f t="shared" si="53"/>
        <v>0</v>
      </c>
      <c r="T219" s="1858">
        <f t="shared" si="53"/>
        <v>0</v>
      </c>
      <c r="U219" s="1682">
        <f t="shared" si="53"/>
        <v>674.25199999999995</v>
      </c>
    </row>
    <row r="220" spans="1:21" ht="21" x14ac:dyDescent="0.25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5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5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5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1.5" hidden="1" x14ac:dyDescent="0.25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5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idden="1" x14ac:dyDescent="0.25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1.5" hidden="1" x14ac:dyDescent="0.25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idden="1" x14ac:dyDescent="0.25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1" hidden="1" x14ac:dyDescent="0.25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idden="1" x14ac:dyDescent="0.25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1.5" hidden="1" x14ac:dyDescent="0.25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idden="1" x14ac:dyDescent="0.25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5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54">H234</f>
        <v>947.01</v>
      </c>
      <c r="I233" s="529">
        <f t="shared" si="54"/>
        <v>0</v>
      </c>
      <c r="J233" s="270">
        <f t="shared" si="54"/>
        <v>0</v>
      </c>
      <c r="K233" s="1858"/>
      <c r="L233" s="1858"/>
      <c r="M233" s="1858"/>
      <c r="N233" s="1200">
        <f t="shared" ref="N233:N234" si="55">N234</f>
        <v>984.89</v>
      </c>
      <c r="O233" s="1858"/>
      <c r="P233" s="1858"/>
      <c r="Q233" s="1858"/>
      <c r="R233" s="1858"/>
      <c r="S233" s="1858"/>
      <c r="T233" s="1858"/>
      <c r="U233" s="1682">
        <f t="shared" ref="U233:U234" si="56">U234</f>
        <v>1024.2860000000001</v>
      </c>
    </row>
    <row r="234" spans="1:21" x14ac:dyDescent="0.25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54"/>
        <v>947.01</v>
      </c>
      <c r="I234" s="529">
        <f t="shared" si="54"/>
        <v>0</v>
      </c>
      <c r="J234" s="270">
        <f t="shared" si="54"/>
        <v>0</v>
      </c>
      <c r="K234" s="1858"/>
      <c r="L234" s="1858"/>
      <c r="M234" s="1858"/>
      <c r="N234" s="1200">
        <f t="shared" si="55"/>
        <v>984.89</v>
      </c>
      <c r="O234" s="1858"/>
      <c r="P234" s="1858"/>
      <c r="Q234" s="1858"/>
      <c r="R234" s="1858"/>
      <c r="S234" s="1858"/>
      <c r="T234" s="1858"/>
      <c r="U234" s="1682">
        <f t="shared" si="56"/>
        <v>1024.2860000000001</v>
      </c>
    </row>
    <row r="235" spans="1:21" x14ac:dyDescent="0.25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5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1" hidden="1" x14ac:dyDescent="0.25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5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1" hidden="1" x14ac:dyDescent="0.25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idden="1" x14ac:dyDescent="0.25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1" hidden="1" x14ac:dyDescent="0.25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5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x14ac:dyDescent="0.25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57">H244</f>
        <v>947.01</v>
      </c>
      <c r="I243" s="529">
        <f t="shared" si="57"/>
        <v>0</v>
      </c>
      <c r="J243" s="269">
        <f t="shared" si="57"/>
        <v>0</v>
      </c>
      <c r="K243" s="1858">
        <f t="shared" si="57"/>
        <v>0</v>
      </c>
      <c r="L243" s="1858">
        <f t="shared" si="57"/>
        <v>0</v>
      </c>
      <c r="M243" s="1858">
        <f t="shared" si="57"/>
        <v>0</v>
      </c>
      <c r="N243" s="1200">
        <f t="shared" si="57"/>
        <v>984.89</v>
      </c>
      <c r="O243" s="1858">
        <f t="shared" si="57"/>
        <v>0</v>
      </c>
      <c r="P243" s="1858">
        <f t="shared" si="57"/>
        <v>0</v>
      </c>
      <c r="Q243" s="1858">
        <f t="shared" si="57"/>
        <v>0</v>
      </c>
      <c r="R243" s="1858">
        <f t="shared" si="57"/>
        <v>0</v>
      </c>
      <c r="S243" s="1858">
        <f t="shared" si="57"/>
        <v>0</v>
      </c>
      <c r="T243" s="1858">
        <f t="shared" si="57"/>
        <v>0</v>
      </c>
      <c r="U243" s="1682">
        <f t="shared" si="57"/>
        <v>1024.2860000000001</v>
      </c>
    </row>
    <row r="244" spans="1:21" ht="21" x14ac:dyDescent="0.25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5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1" x14ac:dyDescent="0.25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 t="shared" ref="I246:J247" si="58">I247</f>
        <v>0</v>
      </c>
      <c r="J246" s="270">
        <f t="shared" si="58"/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 t="shared" ref="U246" si="59">U247</f>
        <v>2000</v>
      </c>
    </row>
    <row r="247" spans="1:21" x14ac:dyDescent="0.25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 t="shared" si="58"/>
        <v>0</v>
      </c>
      <c r="J247" s="270">
        <f t="shared" si="58"/>
        <v>0</v>
      </c>
      <c r="K247" s="1858"/>
      <c r="L247" s="1858"/>
      <c r="M247" s="1858"/>
      <c r="N247" s="1200">
        <f t="shared" ref="N247" si="60"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1" x14ac:dyDescent="0.25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x14ac:dyDescent="0.25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61">H250</f>
        <v>400</v>
      </c>
      <c r="I249" s="529">
        <f t="shared" si="61"/>
        <v>0</v>
      </c>
      <c r="J249" s="404">
        <f t="shared" si="61"/>
        <v>0</v>
      </c>
      <c r="K249" s="1858">
        <f t="shared" si="61"/>
        <v>0</v>
      </c>
      <c r="L249" s="1858">
        <f t="shared" si="61"/>
        <v>0</v>
      </c>
      <c r="M249" s="1858">
        <f t="shared" si="61"/>
        <v>0</v>
      </c>
      <c r="N249" s="1200">
        <f t="shared" si="61"/>
        <v>400</v>
      </c>
      <c r="O249" s="1858">
        <f t="shared" si="61"/>
        <v>0</v>
      </c>
      <c r="P249" s="1858">
        <f t="shared" si="61"/>
        <v>0</v>
      </c>
      <c r="Q249" s="1858">
        <f t="shared" si="61"/>
        <v>0</v>
      </c>
      <c r="R249" s="1858">
        <f t="shared" si="61"/>
        <v>0</v>
      </c>
      <c r="S249" s="1858">
        <f t="shared" si="61"/>
        <v>0</v>
      </c>
      <c r="T249" s="1858">
        <f t="shared" si="61"/>
        <v>0</v>
      </c>
      <c r="U249" s="1682">
        <f t="shared" si="61"/>
        <v>400</v>
      </c>
    </row>
    <row r="250" spans="1:21" ht="21" x14ac:dyDescent="0.25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5" customHeight="1" x14ac:dyDescent="0.25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5" customHeight="1" x14ac:dyDescent="0.25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62">H253</f>
        <v>304.42599999999999</v>
      </c>
      <c r="I252" s="529">
        <f t="shared" si="62"/>
        <v>0</v>
      </c>
      <c r="J252" s="404">
        <f t="shared" si="62"/>
        <v>0</v>
      </c>
      <c r="K252" s="1858">
        <f t="shared" si="62"/>
        <v>0</v>
      </c>
      <c r="L252" s="1858">
        <f t="shared" si="62"/>
        <v>0</v>
      </c>
      <c r="M252" s="1858">
        <f t="shared" si="62"/>
        <v>0</v>
      </c>
      <c r="N252" s="1200">
        <f t="shared" si="62"/>
        <v>1600</v>
      </c>
      <c r="O252" s="1858">
        <f t="shared" si="62"/>
        <v>0</v>
      </c>
      <c r="P252" s="1858">
        <f t="shared" si="62"/>
        <v>0</v>
      </c>
      <c r="Q252" s="1858">
        <f t="shared" si="62"/>
        <v>0</v>
      </c>
      <c r="R252" s="1858">
        <f t="shared" si="62"/>
        <v>0</v>
      </c>
      <c r="S252" s="1858">
        <f t="shared" si="62"/>
        <v>0</v>
      </c>
      <c r="T252" s="1858">
        <f t="shared" si="62"/>
        <v>0</v>
      </c>
      <c r="U252" s="1682">
        <f t="shared" si="62"/>
        <v>1600</v>
      </c>
    </row>
    <row r="253" spans="1:21" x14ac:dyDescent="0.25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5" customHeight="1" x14ac:dyDescent="0.25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1" hidden="1" x14ac:dyDescent="0.25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5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5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5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5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1" hidden="1" x14ac:dyDescent="0.25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1" x14ac:dyDescent="0.25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5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5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63">H264</f>
        <v>0</v>
      </c>
      <c r="I263" s="529">
        <f t="shared" si="63"/>
        <v>0</v>
      </c>
      <c r="J263" s="404">
        <f t="shared" si="63"/>
        <v>0</v>
      </c>
      <c r="K263" s="1858">
        <f t="shared" si="63"/>
        <v>0</v>
      </c>
      <c r="L263" s="1858">
        <f t="shared" si="63"/>
        <v>0</v>
      </c>
      <c r="M263" s="1858">
        <f t="shared" si="63"/>
        <v>0</v>
      </c>
      <c r="N263" s="1200">
        <f t="shared" si="63"/>
        <v>400</v>
      </c>
      <c r="O263" s="1858">
        <f t="shared" si="63"/>
        <v>0</v>
      </c>
      <c r="P263" s="1858">
        <f t="shared" si="63"/>
        <v>0</v>
      </c>
      <c r="Q263" s="1858">
        <f t="shared" si="63"/>
        <v>0</v>
      </c>
      <c r="R263" s="1858">
        <f t="shared" si="63"/>
        <v>0</v>
      </c>
      <c r="S263" s="1858">
        <f t="shared" si="63"/>
        <v>0</v>
      </c>
      <c r="T263" s="1858">
        <f t="shared" si="63"/>
        <v>0</v>
      </c>
      <c r="U263" s="1682">
        <f t="shared" si="63"/>
        <v>400</v>
      </c>
    </row>
    <row r="264" spans="1:21" ht="21" customHeight="1" x14ac:dyDescent="0.25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5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64">H266</f>
        <v>1500</v>
      </c>
      <c r="I265" s="529">
        <f t="shared" si="64"/>
        <v>0</v>
      </c>
      <c r="J265" s="404">
        <f t="shared" si="64"/>
        <v>0</v>
      </c>
      <c r="K265" s="1858">
        <f t="shared" si="64"/>
        <v>0</v>
      </c>
      <c r="L265" s="1858">
        <f t="shared" si="64"/>
        <v>0</v>
      </c>
      <c r="M265" s="1858">
        <f t="shared" si="64"/>
        <v>0</v>
      </c>
      <c r="N265" s="1200">
        <f t="shared" si="64"/>
        <v>1000</v>
      </c>
      <c r="O265" s="1858">
        <f t="shared" si="64"/>
        <v>0</v>
      </c>
      <c r="P265" s="1858">
        <f t="shared" si="64"/>
        <v>0</v>
      </c>
      <c r="Q265" s="1858">
        <f t="shared" si="64"/>
        <v>0</v>
      </c>
      <c r="R265" s="1858">
        <f t="shared" si="64"/>
        <v>0</v>
      </c>
      <c r="S265" s="1858">
        <f t="shared" si="64"/>
        <v>0</v>
      </c>
      <c r="T265" s="1858">
        <f t="shared" si="64"/>
        <v>0</v>
      </c>
      <c r="U265" s="1682">
        <f t="shared" si="64"/>
        <v>1000</v>
      </c>
    </row>
    <row r="266" spans="1:21" ht="21" x14ac:dyDescent="0.25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5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5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65">I269</f>
        <v>0</v>
      </c>
      <c r="J268" s="270">
        <f t="shared" si="65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5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65"/>
        <v>0</v>
      </c>
      <c r="J269" s="270">
        <f t="shared" si="65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1" hidden="1" x14ac:dyDescent="0.25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65"/>
        <v>0</v>
      </c>
      <c r="J270" s="270">
        <f t="shared" si="65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5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21" hidden="1" x14ac:dyDescent="0.25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5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5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5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5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5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5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21" hidden="1" x14ac:dyDescent="0.25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5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5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1" hidden="1" x14ac:dyDescent="0.25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1" hidden="1" x14ac:dyDescent="0.25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5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5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1.5" x14ac:dyDescent="0.25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5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5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66">H290</f>
        <v>3642.6390000000001</v>
      </c>
      <c r="I289" s="529">
        <f t="shared" si="66"/>
        <v>10043.379999999999</v>
      </c>
      <c r="J289" s="404">
        <f t="shared" si="66"/>
        <v>6288.7259999999997</v>
      </c>
      <c r="K289" s="1858">
        <f t="shared" si="66"/>
        <v>2300</v>
      </c>
      <c r="L289" s="1858">
        <f t="shared" si="66"/>
        <v>0</v>
      </c>
      <c r="M289" s="1858">
        <f t="shared" si="66"/>
        <v>0</v>
      </c>
      <c r="N289" s="1200">
        <f t="shared" si="66"/>
        <v>3840.1530000000002</v>
      </c>
      <c r="O289" s="1858">
        <f t="shared" si="66"/>
        <v>0</v>
      </c>
      <c r="P289" s="1858">
        <f t="shared" si="66"/>
        <v>0</v>
      </c>
      <c r="Q289" s="1858">
        <f t="shared" si="66"/>
        <v>0</v>
      </c>
      <c r="R289" s="1858">
        <f t="shared" si="66"/>
        <v>0</v>
      </c>
      <c r="S289" s="1858">
        <f t="shared" si="66"/>
        <v>0</v>
      </c>
      <c r="T289" s="1858">
        <f t="shared" si="66"/>
        <v>0</v>
      </c>
      <c r="U289" s="1682">
        <f t="shared" si="66"/>
        <v>3233.6149999999998</v>
      </c>
    </row>
    <row r="290" spans="1:21" ht="21" x14ac:dyDescent="0.25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5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49999999999999" customHeight="1" x14ac:dyDescent="0.25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67">H293</f>
        <v>26117.34</v>
      </c>
      <c r="I292" s="529">
        <f t="shared" si="67"/>
        <v>0</v>
      </c>
      <c r="J292" s="269">
        <f t="shared" si="67"/>
        <v>0</v>
      </c>
      <c r="K292" s="1858">
        <f t="shared" si="67"/>
        <v>0</v>
      </c>
      <c r="L292" s="1858">
        <f t="shared" si="67"/>
        <v>0</v>
      </c>
      <c r="M292" s="1858">
        <f t="shared" si="67"/>
        <v>0</v>
      </c>
      <c r="N292" s="1200">
        <f t="shared" si="67"/>
        <v>28206.726999999999</v>
      </c>
      <c r="O292" s="1858">
        <f t="shared" si="67"/>
        <v>0</v>
      </c>
      <c r="P292" s="1858">
        <f t="shared" si="67"/>
        <v>0</v>
      </c>
      <c r="Q292" s="1858">
        <f t="shared" si="67"/>
        <v>0</v>
      </c>
      <c r="R292" s="1858">
        <f t="shared" si="67"/>
        <v>0</v>
      </c>
      <c r="S292" s="1858">
        <f t="shared" si="67"/>
        <v>0</v>
      </c>
      <c r="T292" s="1858">
        <f t="shared" si="67"/>
        <v>0</v>
      </c>
      <c r="U292" s="1682">
        <f t="shared" si="67"/>
        <v>29963.264999999999</v>
      </c>
    </row>
    <row r="293" spans="1:21" ht="21.75" customHeight="1" x14ac:dyDescent="0.25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31.5" hidden="1" x14ac:dyDescent="0.25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1.5" hidden="1" x14ac:dyDescent="0.25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68">I296</f>
        <v>3500</v>
      </c>
      <c r="J295" s="269">
        <f t="shared" si="68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5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68"/>
        <v>0</v>
      </c>
      <c r="I296" s="529">
        <f t="shared" si="68"/>
        <v>3500</v>
      </c>
      <c r="J296" s="269">
        <f t="shared" si="68"/>
        <v>3500</v>
      </c>
      <c r="K296" s="1858"/>
      <c r="L296" s="1858"/>
      <c r="M296" s="1858"/>
      <c r="N296" s="1200">
        <f t="shared" ref="N296:N297" si="69">N297</f>
        <v>0</v>
      </c>
      <c r="O296" s="1858"/>
      <c r="P296" s="1858"/>
      <c r="Q296" s="1858"/>
      <c r="R296" s="1858"/>
      <c r="S296" s="1858"/>
      <c r="T296" s="1858"/>
      <c r="U296" s="1682">
        <f t="shared" ref="U296:U297" si="70">U297</f>
        <v>0</v>
      </c>
    </row>
    <row r="297" spans="1:21" hidden="1" x14ac:dyDescent="0.25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68"/>
        <v>0</v>
      </c>
      <c r="I297" s="529">
        <f t="shared" si="68"/>
        <v>3500</v>
      </c>
      <c r="J297" s="269">
        <f t="shared" si="68"/>
        <v>3500</v>
      </c>
      <c r="K297" s="1858"/>
      <c r="L297" s="1858"/>
      <c r="M297" s="1858"/>
      <c r="N297" s="1200">
        <f t="shared" si="69"/>
        <v>0</v>
      </c>
      <c r="O297" s="1858"/>
      <c r="P297" s="1858"/>
      <c r="Q297" s="1858"/>
      <c r="R297" s="1858"/>
      <c r="S297" s="1858"/>
      <c r="T297" s="1858"/>
      <c r="U297" s="1682">
        <f t="shared" si="70"/>
        <v>0</v>
      </c>
    </row>
    <row r="298" spans="1:21" ht="21" hidden="1" x14ac:dyDescent="0.25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1" hidden="1" x14ac:dyDescent="0.25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1.5" hidden="1" x14ac:dyDescent="0.25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idden="1" x14ac:dyDescent="0.25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1" hidden="1" x14ac:dyDescent="0.25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idden="1" x14ac:dyDescent="0.25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1" hidden="1" x14ac:dyDescent="0.25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1" hidden="1" x14ac:dyDescent="0.25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5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5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1" hidden="1" x14ac:dyDescent="0.25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5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5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5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5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5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5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5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5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5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5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5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5" customHeight="1" x14ac:dyDescent="0.25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5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86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5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5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5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5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2" customHeight="1" x14ac:dyDescent="0.25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5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7" customHeight="1" x14ac:dyDescent="0.25">
      <c r="A328" s="732"/>
      <c r="B328" s="1872" t="s">
        <v>1096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5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5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5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5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5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5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5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5" customHeight="1" x14ac:dyDescent="0.25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5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5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5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5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2" customHeight="1" x14ac:dyDescent="0.25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71">H342</f>
        <v>21.337</v>
      </c>
      <c r="I341" s="529">
        <f t="shared" si="71"/>
        <v>0</v>
      </c>
      <c r="J341" s="269">
        <f t="shared" si="71"/>
        <v>0</v>
      </c>
      <c r="K341" s="1858">
        <f t="shared" si="71"/>
        <v>0</v>
      </c>
      <c r="L341" s="1858">
        <f t="shared" si="71"/>
        <v>0</v>
      </c>
      <c r="M341" s="1858">
        <f t="shared" si="71"/>
        <v>0</v>
      </c>
      <c r="N341" s="1530">
        <f t="shared" si="71"/>
        <v>150</v>
      </c>
      <c r="O341" s="1858">
        <f t="shared" si="71"/>
        <v>0</v>
      </c>
      <c r="P341" s="1858">
        <f t="shared" si="71"/>
        <v>0</v>
      </c>
      <c r="Q341" s="1858">
        <f t="shared" si="71"/>
        <v>0</v>
      </c>
      <c r="R341" s="1858">
        <f t="shared" si="71"/>
        <v>0</v>
      </c>
      <c r="S341" s="1858">
        <f t="shared" si="71"/>
        <v>0</v>
      </c>
      <c r="T341" s="1858">
        <f t="shared" si="71"/>
        <v>0</v>
      </c>
      <c r="U341" s="1682">
        <f t="shared" si="71"/>
        <v>150</v>
      </c>
    </row>
    <row r="342" spans="1:21" ht="30.75" customHeight="1" x14ac:dyDescent="0.25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5">
      <c r="A343" s="732"/>
      <c r="B343" s="1872" t="s">
        <v>1097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5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5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5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49999999999999" customHeight="1" x14ac:dyDescent="0.25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72">H348</f>
        <v>4129.9989999999998</v>
      </c>
      <c r="I347" s="529">
        <f t="shared" si="72"/>
        <v>0</v>
      </c>
      <c r="J347" s="269">
        <f t="shared" si="72"/>
        <v>0</v>
      </c>
      <c r="K347" s="1858">
        <f t="shared" si="72"/>
        <v>0</v>
      </c>
      <c r="L347" s="1858">
        <f t="shared" si="72"/>
        <v>0</v>
      </c>
      <c r="M347" s="1858">
        <f t="shared" si="72"/>
        <v>0</v>
      </c>
      <c r="N347" s="1530">
        <f t="shared" si="72"/>
        <v>4000</v>
      </c>
      <c r="O347" s="1858">
        <f t="shared" si="72"/>
        <v>0</v>
      </c>
      <c r="P347" s="1858">
        <f t="shared" si="72"/>
        <v>0</v>
      </c>
      <c r="Q347" s="1858">
        <f t="shared" si="72"/>
        <v>0</v>
      </c>
      <c r="R347" s="1858">
        <f t="shared" si="72"/>
        <v>0</v>
      </c>
      <c r="S347" s="1858">
        <f t="shared" si="72"/>
        <v>0</v>
      </c>
      <c r="T347" s="1858">
        <f t="shared" si="72"/>
        <v>0</v>
      </c>
      <c r="U347" s="1682">
        <f t="shared" si="72"/>
        <v>4000</v>
      </c>
    </row>
    <row r="348" spans="1:21" ht="30.75" customHeight="1" x14ac:dyDescent="0.25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5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5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5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5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5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73">H354</f>
        <v>5480</v>
      </c>
      <c r="I353" s="529">
        <f t="shared" si="73"/>
        <v>0</v>
      </c>
      <c r="J353" s="269">
        <f t="shared" si="73"/>
        <v>0</v>
      </c>
      <c r="K353" s="1858">
        <f t="shared" si="73"/>
        <v>0</v>
      </c>
      <c r="L353" s="1858">
        <f t="shared" si="73"/>
        <v>0</v>
      </c>
      <c r="M353" s="1858">
        <f t="shared" si="73"/>
        <v>0</v>
      </c>
      <c r="N353" s="1200">
        <f t="shared" si="73"/>
        <v>5560</v>
      </c>
      <c r="O353" s="1858">
        <f t="shared" si="73"/>
        <v>0</v>
      </c>
      <c r="P353" s="1858">
        <f t="shared" si="73"/>
        <v>0</v>
      </c>
      <c r="Q353" s="1858">
        <f t="shared" si="73"/>
        <v>0</v>
      </c>
      <c r="R353" s="1858">
        <f t="shared" si="73"/>
        <v>0</v>
      </c>
      <c r="S353" s="1858">
        <f t="shared" si="73"/>
        <v>0</v>
      </c>
      <c r="T353" s="1858">
        <f t="shared" si="73"/>
        <v>0</v>
      </c>
      <c r="U353" s="1682">
        <f t="shared" si="73"/>
        <v>4643.2</v>
      </c>
    </row>
    <row r="354" spans="1:21" ht="30.75" customHeight="1" x14ac:dyDescent="0.25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5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5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5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74">H358</f>
        <v>362</v>
      </c>
      <c r="I357" s="841">
        <f t="shared" si="74"/>
        <v>0</v>
      </c>
      <c r="J357" s="276">
        <f t="shared" si="74"/>
        <v>0</v>
      </c>
      <c r="K357" s="1858"/>
      <c r="L357" s="1858"/>
      <c r="M357" s="1858"/>
      <c r="N357" s="1208">
        <f t="shared" ref="N357:N359" si="75">N358</f>
        <v>377</v>
      </c>
      <c r="O357" s="1858"/>
      <c r="P357" s="1858"/>
      <c r="Q357" s="1858"/>
      <c r="R357" s="1858"/>
      <c r="S357" s="1858"/>
      <c r="T357" s="1858"/>
      <c r="U357" s="1683">
        <f t="shared" ref="U357:U359" si="76">U358</f>
        <v>392</v>
      </c>
    </row>
    <row r="358" spans="1:21" x14ac:dyDescent="0.25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74"/>
        <v>362</v>
      </c>
      <c r="I358" s="841">
        <f t="shared" si="74"/>
        <v>0</v>
      </c>
      <c r="J358" s="276">
        <f t="shared" si="74"/>
        <v>0</v>
      </c>
      <c r="K358" s="1858"/>
      <c r="L358" s="1858"/>
      <c r="M358" s="1858"/>
      <c r="N358" s="1208">
        <f t="shared" si="75"/>
        <v>377</v>
      </c>
      <c r="O358" s="1858"/>
      <c r="P358" s="1858"/>
      <c r="Q358" s="1858"/>
      <c r="R358" s="1858"/>
      <c r="S358" s="1858"/>
      <c r="T358" s="1858"/>
      <c r="U358" s="1683">
        <f t="shared" si="76"/>
        <v>392</v>
      </c>
    </row>
    <row r="359" spans="1:21" ht="21" x14ac:dyDescent="0.25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74"/>
        <v>362</v>
      </c>
      <c r="I359" s="529">
        <f t="shared" si="74"/>
        <v>0</v>
      </c>
      <c r="J359" s="269">
        <f t="shared" si="74"/>
        <v>0</v>
      </c>
      <c r="K359" s="1858"/>
      <c r="L359" s="1858"/>
      <c r="M359" s="1858"/>
      <c r="N359" s="1200">
        <f t="shared" si="75"/>
        <v>377</v>
      </c>
      <c r="O359" s="1858"/>
      <c r="P359" s="1858"/>
      <c r="Q359" s="1858"/>
      <c r="R359" s="1858"/>
      <c r="S359" s="1858"/>
      <c r="T359" s="1858"/>
      <c r="U359" s="1682">
        <f t="shared" si="76"/>
        <v>392</v>
      </c>
    </row>
    <row r="360" spans="1:21" ht="21" x14ac:dyDescent="0.25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31.5" hidden="1" x14ac:dyDescent="0.25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77">H362</f>
        <v>0</v>
      </c>
      <c r="I361" s="529">
        <f t="shared" si="77"/>
        <v>0</v>
      </c>
      <c r="J361" s="269">
        <f t="shared" si="77"/>
        <v>0</v>
      </c>
      <c r="K361" s="1858"/>
      <c r="L361" s="1858"/>
      <c r="M361" s="1858"/>
      <c r="N361" s="1200">
        <f t="shared" ref="N361:N362" si="78">N362</f>
        <v>0</v>
      </c>
      <c r="O361" s="1858"/>
      <c r="P361" s="1858"/>
      <c r="Q361" s="1858"/>
      <c r="R361" s="1858"/>
      <c r="S361" s="1858"/>
      <c r="T361" s="1858"/>
      <c r="U361" s="1682">
        <f t="shared" ref="U361:U362" si="79">U362</f>
        <v>0</v>
      </c>
    </row>
    <row r="362" spans="1:21" hidden="1" x14ac:dyDescent="0.25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77"/>
        <v>0</v>
      </c>
      <c r="I362" s="529">
        <f t="shared" si="77"/>
        <v>0</v>
      </c>
      <c r="J362" s="269">
        <f t="shared" si="77"/>
        <v>0</v>
      </c>
      <c r="K362" s="1858"/>
      <c r="L362" s="1858"/>
      <c r="M362" s="1858"/>
      <c r="N362" s="1200">
        <f t="shared" si="78"/>
        <v>0</v>
      </c>
      <c r="O362" s="1858"/>
      <c r="P362" s="1858"/>
      <c r="Q362" s="1858"/>
      <c r="R362" s="1858"/>
      <c r="S362" s="1858"/>
      <c r="T362" s="1858"/>
      <c r="U362" s="1682">
        <f t="shared" si="79"/>
        <v>0</v>
      </c>
    </row>
    <row r="363" spans="1:21" ht="21" hidden="1" x14ac:dyDescent="0.25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1" x14ac:dyDescent="0.25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5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x14ac:dyDescent="0.25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1" x14ac:dyDescent="0.25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5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 t="shared" ref="H368:J368" si="80">H370</f>
        <v>250</v>
      </c>
      <c r="I368" s="529">
        <f t="shared" si="80"/>
        <v>0</v>
      </c>
      <c r="J368" s="269">
        <f t="shared" si="80"/>
        <v>0</v>
      </c>
      <c r="K368" s="1858"/>
      <c r="L368" s="1858"/>
      <c r="M368" s="1858"/>
      <c r="N368" s="1200">
        <f t="shared" ref="N368" si="81">N370</f>
        <v>260</v>
      </c>
      <c r="O368" s="1858"/>
      <c r="P368" s="1858"/>
      <c r="Q368" s="1858"/>
      <c r="R368" s="1858"/>
      <c r="S368" s="1858"/>
      <c r="T368" s="1858"/>
      <c r="U368" s="1682">
        <f t="shared" ref="U368" si="82">U370</f>
        <v>270</v>
      </c>
    </row>
    <row r="369" spans="1:21" x14ac:dyDescent="0.25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83">H370</f>
        <v>250</v>
      </c>
      <c r="I369" s="529">
        <f t="shared" si="83"/>
        <v>0</v>
      </c>
      <c r="J369" s="269">
        <f t="shared" si="83"/>
        <v>0</v>
      </c>
      <c r="K369" s="1858">
        <f t="shared" si="83"/>
        <v>0</v>
      </c>
      <c r="L369" s="1858">
        <f t="shared" si="83"/>
        <v>0</v>
      </c>
      <c r="M369" s="1858">
        <f t="shared" si="83"/>
        <v>0</v>
      </c>
      <c r="N369" s="1200">
        <f t="shared" si="83"/>
        <v>260</v>
      </c>
      <c r="O369" s="1858">
        <f t="shared" si="83"/>
        <v>0</v>
      </c>
      <c r="P369" s="1858">
        <f t="shared" si="83"/>
        <v>0</v>
      </c>
      <c r="Q369" s="1858">
        <f t="shared" si="83"/>
        <v>0</v>
      </c>
      <c r="R369" s="1858">
        <f t="shared" si="83"/>
        <v>0</v>
      </c>
      <c r="S369" s="1858">
        <f t="shared" si="83"/>
        <v>0</v>
      </c>
      <c r="T369" s="1858">
        <f t="shared" si="83"/>
        <v>0</v>
      </c>
      <c r="U369" s="1682">
        <f t="shared" si="83"/>
        <v>270</v>
      </c>
    </row>
    <row r="370" spans="1:21" ht="21" x14ac:dyDescent="0.25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ht="13" x14ac:dyDescent="0.3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5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5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84">I374</f>
        <v>0</v>
      </c>
      <c r="J373" s="276">
        <f t="shared" si="84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5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84"/>
        <v>0</v>
      </c>
      <c r="J374" s="269">
        <f t="shared" si="84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5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84"/>
        <v>0</v>
      </c>
      <c r="J375" s="1656">
        <f t="shared" si="84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5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39" x14ac:dyDescent="0.25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85">H378</f>
        <v>7411.9359999999997</v>
      </c>
      <c r="I377" s="1655">
        <f t="shared" si="85"/>
        <v>0</v>
      </c>
      <c r="J377" s="1656">
        <f t="shared" si="85"/>
        <v>0</v>
      </c>
      <c r="K377" s="1886">
        <f t="shared" si="85"/>
        <v>0</v>
      </c>
      <c r="L377" s="1886">
        <f t="shared" si="85"/>
        <v>0</v>
      </c>
      <c r="M377" s="1886">
        <f t="shared" si="85"/>
        <v>0</v>
      </c>
      <c r="N377" s="1654">
        <f t="shared" si="85"/>
        <v>7708.4129999999996</v>
      </c>
      <c r="O377" s="1886">
        <f t="shared" si="85"/>
        <v>0</v>
      </c>
      <c r="P377" s="1886">
        <f t="shared" si="85"/>
        <v>0</v>
      </c>
      <c r="Q377" s="1886">
        <f t="shared" si="85"/>
        <v>0</v>
      </c>
      <c r="R377" s="1886">
        <f t="shared" si="85"/>
        <v>0</v>
      </c>
      <c r="S377" s="1886">
        <f t="shared" si="85"/>
        <v>0</v>
      </c>
      <c r="T377" s="1886">
        <f t="shared" si="85"/>
        <v>0</v>
      </c>
      <c r="U377" s="1687">
        <f t="shared" si="85"/>
        <v>8016.75</v>
      </c>
    </row>
    <row r="378" spans="1:21" x14ac:dyDescent="0.25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x14ac:dyDescent="0.25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86">H380</f>
        <v>3642.172</v>
      </c>
      <c r="I379" s="529">
        <f t="shared" si="86"/>
        <v>0</v>
      </c>
      <c r="J379" s="269">
        <f t="shared" si="86"/>
        <v>0</v>
      </c>
      <c r="K379" s="1858">
        <f t="shared" si="86"/>
        <v>0</v>
      </c>
      <c r="L379" s="1858">
        <f t="shared" si="86"/>
        <v>0</v>
      </c>
      <c r="M379" s="1858">
        <f t="shared" si="86"/>
        <v>0</v>
      </c>
      <c r="N379" s="1200">
        <f t="shared" si="86"/>
        <v>2652.9690000000001</v>
      </c>
      <c r="O379" s="1858">
        <f t="shared" si="86"/>
        <v>0</v>
      </c>
      <c r="P379" s="1858">
        <f t="shared" si="86"/>
        <v>0</v>
      </c>
      <c r="Q379" s="1858">
        <f t="shared" si="86"/>
        <v>0</v>
      </c>
      <c r="R379" s="1858">
        <f t="shared" si="86"/>
        <v>0</v>
      </c>
      <c r="S379" s="1858">
        <f t="shared" si="86"/>
        <v>0</v>
      </c>
      <c r="T379" s="1858">
        <f t="shared" si="86"/>
        <v>0</v>
      </c>
      <c r="U379" s="1682">
        <f t="shared" si="86"/>
        <v>2915.127</v>
      </c>
    </row>
    <row r="380" spans="1:21" ht="21" x14ac:dyDescent="0.25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5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87">H382</f>
        <v>1</v>
      </c>
      <c r="I381" s="529">
        <f t="shared" si="87"/>
        <v>0</v>
      </c>
      <c r="J381" s="269">
        <f t="shared" si="87"/>
        <v>0</v>
      </c>
      <c r="K381" s="1859">
        <f t="shared" si="87"/>
        <v>0</v>
      </c>
      <c r="L381" s="1858">
        <f t="shared" si="87"/>
        <v>0</v>
      </c>
      <c r="M381" s="1858">
        <f t="shared" si="87"/>
        <v>0</v>
      </c>
      <c r="N381" s="1200">
        <f t="shared" si="87"/>
        <v>1</v>
      </c>
      <c r="O381" s="1858">
        <f t="shared" si="87"/>
        <v>0</v>
      </c>
      <c r="P381" s="1858">
        <f t="shared" si="87"/>
        <v>0</v>
      </c>
      <c r="Q381" s="1858">
        <f t="shared" si="87"/>
        <v>0</v>
      </c>
      <c r="R381" s="1858">
        <f t="shared" si="87"/>
        <v>0</v>
      </c>
      <c r="S381" s="1858">
        <f t="shared" si="87"/>
        <v>0</v>
      </c>
      <c r="T381" s="1858">
        <f t="shared" si="87"/>
        <v>0</v>
      </c>
      <c r="U381" s="1682">
        <f t="shared" si="87"/>
        <v>1</v>
      </c>
    </row>
    <row r="382" spans="1:21" x14ac:dyDescent="0.25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21" hidden="1" x14ac:dyDescent="0.3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5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5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5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5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5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39" x14ac:dyDescent="0.25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88">H390</f>
        <v>2666.2</v>
      </c>
      <c r="I389" s="529">
        <f t="shared" si="88"/>
        <v>0</v>
      </c>
      <c r="J389" s="269">
        <f t="shared" si="88"/>
        <v>0</v>
      </c>
      <c r="K389" s="1858">
        <f t="shared" si="88"/>
        <v>0</v>
      </c>
      <c r="L389" s="1858">
        <f t="shared" si="88"/>
        <v>0</v>
      </c>
      <c r="M389" s="1858">
        <f t="shared" si="88"/>
        <v>0</v>
      </c>
      <c r="N389" s="1530">
        <f t="shared" si="88"/>
        <v>2666.2</v>
      </c>
      <c r="O389" s="1858">
        <f t="shared" si="88"/>
        <v>0</v>
      </c>
      <c r="P389" s="1858">
        <f t="shared" si="88"/>
        <v>0</v>
      </c>
      <c r="Q389" s="1858">
        <f t="shared" si="88"/>
        <v>0</v>
      </c>
      <c r="R389" s="1858">
        <f t="shared" si="88"/>
        <v>0</v>
      </c>
      <c r="S389" s="1858">
        <f t="shared" si="88"/>
        <v>0</v>
      </c>
      <c r="T389" s="1858">
        <f t="shared" si="88"/>
        <v>0</v>
      </c>
      <c r="U389" s="1682">
        <f t="shared" si="88"/>
        <v>0</v>
      </c>
      <c r="V389" s="1861"/>
      <c r="W389" s="1861"/>
      <c r="X389" s="1861"/>
      <c r="Y389" s="239"/>
    </row>
    <row r="390" spans="1:25" x14ac:dyDescent="0.25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ht="13" x14ac:dyDescent="0.3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1" x14ac:dyDescent="0.25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5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5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5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x14ac:dyDescent="0.25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89">H397</f>
        <v>7033</v>
      </c>
      <c r="I396" s="529">
        <f t="shared" si="89"/>
        <v>0</v>
      </c>
      <c r="J396" s="269">
        <f t="shared" si="89"/>
        <v>0</v>
      </c>
      <c r="K396" s="1858">
        <f t="shared" si="89"/>
        <v>0</v>
      </c>
      <c r="L396" s="1858">
        <f t="shared" si="89"/>
        <v>0</v>
      </c>
      <c r="M396" s="1858">
        <f t="shared" si="89"/>
        <v>0</v>
      </c>
      <c r="N396" s="1200">
        <f t="shared" si="89"/>
        <v>7314.32</v>
      </c>
      <c r="O396" s="1858">
        <f t="shared" si="89"/>
        <v>0</v>
      </c>
      <c r="P396" s="1858">
        <f t="shared" si="89"/>
        <v>0</v>
      </c>
      <c r="Q396" s="1858">
        <f t="shared" si="89"/>
        <v>0</v>
      </c>
      <c r="R396" s="1858">
        <f t="shared" si="89"/>
        <v>0</v>
      </c>
      <c r="S396" s="1858">
        <f t="shared" si="89"/>
        <v>0</v>
      </c>
      <c r="T396" s="1858">
        <f t="shared" si="89"/>
        <v>0</v>
      </c>
      <c r="U396" s="1682">
        <f t="shared" si="89"/>
        <v>7606.89</v>
      </c>
    </row>
    <row r="397" spans="1:25" ht="21" customHeight="1" x14ac:dyDescent="0.25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1" hidden="1" x14ac:dyDescent="0.25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5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5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90">H401</f>
        <v>681.78300000000002</v>
      </c>
      <c r="I400" s="841">
        <f t="shared" si="90"/>
        <v>0</v>
      </c>
      <c r="J400" s="277">
        <f t="shared" si="90"/>
        <v>0</v>
      </c>
      <c r="K400" s="1862">
        <v>615.01599999999996</v>
      </c>
      <c r="L400" s="1858"/>
      <c r="M400" s="1858"/>
      <c r="N400" s="1208">
        <f t="shared" ref="N400:N403" si="91">N401</f>
        <v>709.05399999999997</v>
      </c>
      <c r="O400" s="1858"/>
      <c r="P400" s="1858"/>
      <c r="Q400" s="1858"/>
      <c r="R400" s="1858"/>
      <c r="S400" s="1858"/>
      <c r="T400" s="1858"/>
      <c r="U400" s="1683">
        <f t="shared" ref="U400:U403" si="92">U401</f>
        <v>737.41600000000005</v>
      </c>
    </row>
    <row r="401" spans="1:21" ht="21" x14ac:dyDescent="0.25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90"/>
        <v>681.78300000000002</v>
      </c>
      <c r="I401" s="841">
        <f t="shared" si="90"/>
        <v>0</v>
      </c>
      <c r="J401" s="277">
        <f t="shared" si="90"/>
        <v>0</v>
      </c>
      <c r="K401" s="1858"/>
      <c r="L401" s="1858"/>
      <c r="M401" s="1858"/>
      <c r="N401" s="1208">
        <f t="shared" si="91"/>
        <v>709.05399999999997</v>
      </c>
      <c r="O401" s="1858"/>
      <c r="P401" s="1858"/>
      <c r="Q401" s="1858"/>
      <c r="R401" s="1858"/>
      <c r="S401" s="1858"/>
      <c r="T401" s="1858"/>
      <c r="U401" s="1683">
        <f t="shared" si="92"/>
        <v>737.41600000000005</v>
      </c>
    </row>
    <row r="402" spans="1:21" x14ac:dyDescent="0.25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90"/>
        <v>681.78300000000002</v>
      </c>
      <c r="I402" s="529">
        <f t="shared" si="90"/>
        <v>0</v>
      </c>
      <c r="J402" s="270">
        <f t="shared" si="90"/>
        <v>0</v>
      </c>
      <c r="K402" s="1858"/>
      <c r="L402" s="1858"/>
      <c r="M402" s="1858"/>
      <c r="N402" s="1200">
        <f t="shared" si="91"/>
        <v>709.05399999999997</v>
      </c>
      <c r="O402" s="1858"/>
      <c r="P402" s="1858"/>
      <c r="Q402" s="1858"/>
      <c r="R402" s="1858"/>
      <c r="S402" s="1858"/>
      <c r="T402" s="1858"/>
      <c r="U402" s="1682">
        <f t="shared" si="92"/>
        <v>737.41600000000005</v>
      </c>
    </row>
    <row r="403" spans="1:21" x14ac:dyDescent="0.25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90"/>
        <v>681.78300000000002</v>
      </c>
      <c r="I403" s="529">
        <f t="shared" si="90"/>
        <v>0</v>
      </c>
      <c r="J403" s="270">
        <f t="shared" si="90"/>
        <v>0</v>
      </c>
      <c r="K403" s="1858"/>
      <c r="L403" s="1858"/>
      <c r="M403" s="1858"/>
      <c r="N403" s="1200">
        <f t="shared" si="91"/>
        <v>709.05399999999997</v>
      </c>
      <c r="O403" s="1858"/>
      <c r="P403" s="1858"/>
      <c r="Q403" s="1858"/>
      <c r="R403" s="1858"/>
      <c r="S403" s="1858"/>
      <c r="T403" s="1858"/>
      <c r="U403" s="1682">
        <f t="shared" si="92"/>
        <v>737.41600000000005</v>
      </c>
    </row>
    <row r="404" spans="1:21" x14ac:dyDescent="0.25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5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93">H406</f>
        <v>681.78300000000002</v>
      </c>
      <c r="I405" s="529">
        <f t="shared" si="93"/>
        <v>0</v>
      </c>
      <c r="J405" s="404">
        <f t="shared" si="93"/>
        <v>0</v>
      </c>
      <c r="K405" s="1858">
        <f t="shared" si="93"/>
        <v>0</v>
      </c>
      <c r="L405" s="1858">
        <f t="shared" si="93"/>
        <v>0</v>
      </c>
      <c r="M405" s="1858">
        <f t="shared" si="93"/>
        <v>0</v>
      </c>
      <c r="N405" s="1200">
        <f t="shared" si="93"/>
        <v>709.05399999999997</v>
      </c>
      <c r="O405" s="1858">
        <f t="shared" si="93"/>
        <v>0</v>
      </c>
      <c r="P405" s="1858">
        <f t="shared" si="93"/>
        <v>0</v>
      </c>
      <c r="Q405" s="1858">
        <f t="shared" si="93"/>
        <v>0</v>
      </c>
      <c r="R405" s="1858">
        <f t="shared" si="93"/>
        <v>0</v>
      </c>
      <c r="S405" s="1858">
        <f t="shared" si="93"/>
        <v>0</v>
      </c>
      <c r="T405" s="1858">
        <f t="shared" si="93"/>
        <v>0</v>
      </c>
      <c r="U405" s="1682">
        <f t="shared" si="93"/>
        <v>737.41600000000005</v>
      </c>
    </row>
    <row r="406" spans="1:21" x14ac:dyDescent="0.25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5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94">H408</f>
        <v>0</v>
      </c>
      <c r="I407" s="841">
        <f t="shared" si="94"/>
        <v>585.81999999999994</v>
      </c>
      <c r="J407" s="277">
        <f t="shared" si="94"/>
        <v>610.88699999999994</v>
      </c>
      <c r="K407" s="1858"/>
      <c r="L407" s="1858"/>
      <c r="M407" s="1858"/>
      <c r="N407" s="1208">
        <f t="shared" ref="N407:N410" si="95">N408</f>
        <v>0</v>
      </c>
      <c r="O407" s="1858"/>
      <c r="P407" s="1858"/>
      <c r="Q407" s="1858"/>
      <c r="R407" s="1858"/>
      <c r="S407" s="1858"/>
      <c r="T407" s="1858"/>
      <c r="U407" s="1683">
        <f t="shared" ref="U407:U410" si="96">U408</f>
        <v>0</v>
      </c>
    </row>
    <row r="408" spans="1:21" ht="31.5" hidden="1" x14ac:dyDescent="0.25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94"/>
        <v>585.81999999999994</v>
      </c>
      <c r="J408" s="277">
        <f t="shared" si="94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5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94"/>
        <v>0</v>
      </c>
      <c r="I409" s="529">
        <f t="shared" si="94"/>
        <v>585.81999999999994</v>
      </c>
      <c r="J409" s="270">
        <f t="shared" si="94"/>
        <v>610.88699999999994</v>
      </c>
      <c r="K409" s="1858"/>
      <c r="L409" s="1858"/>
      <c r="M409" s="1858"/>
      <c r="N409" s="1200">
        <f t="shared" si="95"/>
        <v>0</v>
      </c>
      <c r="O409" s="1858"/>
      <c r="P409" s="1858"/>
      <c r="Q409" s="1858"/>
      <c r="R409" s="1858"/>
      <c r="S409" s="1858"/>
      <c r="T409" s="1858"/>
      <c r="U409" s="1682">
        <f t="shared" si="96"/>
        <v>0</v>
      </c>
    </row>
    <row r="410" spans="1:21" hidden="1" x14ac:dyDescent="0.25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94"/>
        <v>0</v>
      </c>
      <c r="I410" s="529">
        <f t="shared" si="94"/>
        <v>585.81999999999994</v>
      </c>
      <c r="J410" s="270">
        <f t="shared" si="94"/>
        <v>610.88699999999994</v>
      </c>
      <c r="K410" s="1858"/>
      <c r="L410" s="1858"/>
      <c r="M410" s="1858"/>
      <c r="N410" s="1200">
        <f t="shared" si="95"/>
        <v>0</v>
      </c>
      <c r="O410" s="1858"/>
      <c r="P410" s="1858"/>
      <c r="Q410" s="1858"/>
      <c r="R410" s="1858"/>
      <c r="S410" s="1858"/>
      <c r="T410" s="1858"/>
      <c r="U410" s="1682">
        <f t="shared" si="96"/>
        <v>0</v>
      </c>
    </row>
    <row r="411" spans="1:21" ht="35.25" hidden="1" customHeight="1" x14ac:dyDescent="0.25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idden="1" x14ac:dyDescent="0.25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1" hidden="1" x14ac:dyDescent="0.25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idden="1" x14ac:dyDescent="0.25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1.5" hidden="1" x14ac:dyDescent="0.25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idden="1" x14ac:dyDescent="0.25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idden="1" x14ac:dyDescent="0.25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5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5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97">H420</f>
        <v>0</v>
      </c>
      <c r="I419" s="841">
        <f t="shared" si="97"/>
        <v>0</v>
      </c>
      <c r="J419" s="277">
        <f t="shared" si="97"/>
        <v>0</v>
      </c>
      <c r="K419" s="1858"/>
      <c r="L419" s="1858"/>
      <c r="M419" s="1858"/>
      <c r="N419" s="1208">
        <f t="shared" ref="N419:N422" si="98">N420</f>
        <v>0</v>
      </c>
      <c r="O419" s="1858"/>
      <c r="P419" s="1858"/>
      <c r="Q419" s="1858"/>
      <c r="R419" s="1858"/>
      <c r="S419" s="1858"/>
      <c r="T419" s="1858"/>
      <c r="U419" s="1683">
        <f t="shared" ref="U419:U422" si="99">U420</f>
        <v>0</v>
      </c>
    </row>
    <row r="420" spans="1:21" ht="34.5" hidden="1" x14ac:dyDescent="0.25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97"/>
        <v>0</v>
      </c>
      <c r="I420" s="841">
        <f t="shared" si="97"/>
        <v>0</v>
      </c>
      <c r="J420" s="277">
        <f t="shared" si="97"/>
        <v>0</v>
      </c>
      <c r="K420" s="1858"/>
      <c r="L420" s="1858"/>
      <c r="M420" s="1858"/>
      <c r="N420" s="1208">
        <f t="shared" si="98"/>
        <v>0</v>
      </c>
      <c r="O420" s="1858"/>
      <c r="P420" s="1858"/>
      <c r="Q420" s="1858"/>
      <c r="R420" s="1858"/>
      <c r="S420" s="1858"/>
      <c r="T420" s="1858"/>
      <c r="U420" s="1683">
        <f t="shared" si="99"/>
        <v>0</v>
      </c>
    </row>
    <row r="421" spans="1:21" ht="34.5" hidden="1" x14ac:dyDescent="0.25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97"/>
        <v>0</v>
      </c>
      <c r="I421" s="529">
        <f t="shared" si="97"/>
        <v>0</v>
      </c>
      <c r="J421" s="270">
        <f t="shared" si="97"/>
        <v>0</v>
      </c>
      <c r="K421" s="1858"/>
      <c r="L421" s="1858"/>
      <c r="M421" s="1858"/>
      <c r="N421" s="1200">
        <f t="shared" si="98"/>
        <v>0</v>
      </c>
      <c r="O421" s="1858"/>
      <c r="P421" s="1858"/>
      <c r="Q421" s="1858"/>
      <c r="R421" s="1858"/>
      <c r="S421" s="1858"/>
      <c r="T421" s="1858"/>
      <c r="U421" s="1682">
        <f t="shared" si="99"/>
        <v>0</v>
      </c>
    </row>
    <row r="422" spans="1:21" hidden="1" x14ac:dyDescent="0.25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97"/>
        <v>0</v>
      </c>
      <c r="I422" s="529">
        <f t="shared" si="97"/>
        <v>0</v>
      </c>
      <c r="J422" s="270">
        <f t="shared" si="97"/>
        <v>0</v>
      </c>
      <c r="K422" s="1858"/>
      <c r="L422" s="1858"/>
      <c r="M422" s="1858"/>
      <c r="N422" s="1200">
        <f t="shared" si="98"/>
        <v>0</v>
      </c>
      <c r="O422" s="1858"/>
      <c r="P422" s="1858"/>
      <c r="Q422" s="1858"/>
      <c r="R422" s="1858"/>
      <c r="S422" s="1858"/>
      <c r="T422" s="1858"/>
      <c r="U422" s="1682">
        <f t="shared" si="99"/>
        <v>0</v>
      </c>
    </row>
    <row r="423" spans="1:21" hidden="1" x14ac:dyDescent="0.25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5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3" hidden="1" x14ac:dyDescent="0.25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5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5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5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1" hidden="1" x14ac:dyDescent="0.25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1" hidden="1" x14ac:dyDescent="0.25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100">H431</f>
        <v>0</v>
      </c>
      <c r="I430" s="529">
        <f t="shared" si="100"/>
        <v>0</v>
      </c>
      <c r="J430" s="270">
        <f t="shared" si="100"/>
        <v>0</v>
      </c>
      <c r="K430" s="1858"/>
      <c r="L430" s="1858"/>
      <c r="M430" s="1858"/>
      <c r="N430" s="1200">
        <f t="shared" ref="N430:N431" si="101">N431</f>
        <v>0</v>
      </c>
      <c r="O430" s="1858"/>
      <c r="P430" s="1858"/>
      <c r="Q430" s="1858"/>
      <c r="R430" s="1858"/>
      <c r="S430" s="1858"/>
      <c r="T430" s="1858"/>
      <c r="U430" s="1682">
        <f t="shared" ref="U430:U431" si="102">U431</f>
        <v>0</v>
      </c>
    </row>
    <row r="431" spans="1:21" ht="21" hidden="1" x14ac:dyDescent="0.25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100"/>
        <v>0</v>
      </c>
      <c r="I431" s="529">
        <f t="shared" si="100"/>
        <v>0</v>
      </c>
      <c r="J431" s="270">
        <f t="shared" si="100"/>
        <v>0</v>
      </c>
      <c r="K431" s="1858"/>
      <c r="L431" s="1858"/>
      <c r="M431" s="1858"/>
      <c r="N431" s="1200">
        <f t="shared" si="101"/>
        <v>0</v>
      </c>
      <c r="O431" s="1858"/>
      <c r="P431" s="1858"/>
      <c r="Q431" s="1858"/>
      <c r="R431" s="1858"/>
      <c r="S431" s="1858"/>
      <c r="T431" s="1858"/>
      <c r="U431" s="1682">
        <f t="shared" si="102"/>
        <v>0</v>
      </c>
    </row>
    <row r="432" spans="1:21" hidden="1" x14ac:dyDescent="0.25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idden="1" x14ac:dyDescent="0.25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5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1" hidden="1" x14ac:dyDescent="0.25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5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1" hidden="1" x14ac:dyDescent="0.25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5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1" x14ac:dyDescent="0.25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 t="shared" ref="H439:J439" si="103">H440</f>
        <v>650</v>
      </c>
      <c r="I439" s="529">
        <f t="shared" si="103"/>
        <v>0</v>
      </c>
      <c r="J439" s="270">
        <f t="shared" si="103"/>
        <v>0</v>
      </c>
      <c r="K439" s="1858"/>
      <c r="L439" s="1858"/>
      <c r="M439" s="1858"/>
      <c r="N439" s="1200">
        <f t="shared" ref="N439" si="104">N440</f>
        <v>700</v>
      </c>
      <c r="O439" s="1858"/>
      <c r="P439" s="1858"/>
      <c r="Q439" s="1858"/>
      <c r="R439" s="1858"/>
      <c r="S439" s="1858"/>
      <c r="T439" s="1858"/>
      <c r="U439" s="1682">
        <f t="shared" ref="U439" si="105">U440</f>
        <v>750</v>
      </c>
    </row>
    <row r="440" spans="1:21" ht="21" customHeight="1" x14ac:dyDescent="0.25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x14ac:dyDescent="0.25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106">H442</f>
        <v>650</v>
      </c>
      <c r="I441" s="529">
        <f t="shared" si="106"/>
        <v>0</v>
      </c>
      <c r="J441" s="404">
        <f t="shared" si="106"/>
        <v>0</v>
      </c>
      <c r="K441" s="1858">
        <f t="shared" si="106"/>
        <v>0</v>
      </c>
      <c r="L441" s="1858">
        <f t="shared" si="106"/>
        <v>0</v>
      </c>
      <c r="M441" s="1858">
        <f t="shared" si="106"/>
        <v>0</v>
      </c>
      <c r="N441" s="1200">
        <f t="shared" si="106"/>
        <v>700</v>
      </c>
      <c r="O441" s="1858">
        <f t="shared" si="106"/>
        <v>0</v>
      </c>
      <c r="P441" s="1858">
        <f t="shared" si="106"/>
        <v>0</v>
      </c>
      <c r="Q441" s="1858">
        <f t="shared" si="106"/>
        <v>0</v>
      </c>
      <c r="R441" s="1858">
        <f t="shared" si="106"/>
        <v>0</v>
      </c>
      <c r="S441" s="1858">
        <f t="shared" si="106"/>
        <v>0</v>
      </c>
      <c r="T441" s="1858">
        <f t="shared" si="106"/>
        <v>0</v>
      </c>
      <c r="U441" s="1682">
        <f t="shared" si="106"/>
        <v>750</v>
      </c>
    </row>
    <row r="442" spans="1:21" ht="21" x14ac:dyDescent="0.25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21" x14ac:dyDescent="0.25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5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5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107">H446</f>
        <v>1000</v>
      </c>
      <c r="I445" s="529">
        <f t="shared" si="107"/>
        <v>0</v>
      </c>
      <c r="J445" s="269">
        <f t="shared" si="107"/>
        <v>0</v>
      </c>
      <c r="K445" s="1858">
        <f t="shared" si="107"/>
        <v>0</v>
      </c>
      <c r="L445" s="1858">
        <f t="shared" si="107"/>
        <v>0</v>
      </c>
      <c r="M445" s="1858">
        <f t="shared" si="107"/>
        <v>0</v>
      </c>
      <c r="N445" s="1200">
        <f t="shared" si="107"/>
        <v>1000</v>
      </c>
      <c r="O445" s="1858">
        <f t="shared" si="107"/>
        <v>0</v>
      </c>
      <c r="P445" s="1858">
        <f t="shared" si="107"/>
        <v>0</v>
      </c>
      <c r="Q445" s="1858">
        <f t="shared" si="107"/>
        <v>0</v>
      </c>
      <c r="R445" s="1858">
        <f t="shared" si="107"/>
        <v>0</v>
      </c>
      <c r="S445" s="1858">
        <f t="shared" si="107"/>
        <v>0</v>
      </c>
      <c r="T445" s="1858">
        <f t="shared" si="107"/>
        <v>0</v>
      </c>
      <c r="U445" s="1682">
        <f t="shared" si="107"/>
        <v>1000</v>
      </c>
    </row>
    <row r="446" spans="1:21" x14ac:dyDescent="0.25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5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5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5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5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5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21" x14ac:dyDescent="0.25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x14ac:dyDescent="0.25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1.5" thickBot="1" x14ac:dyDescent="0.3">
      <c r="A454" s="778"/>
      <c r="B454" s="1259" t="s">
        <v>454</v>
      </c>
      <c r="C454" s="1260"/>
      <c r="D454" s="2183" t="s">
        <v>534</v>
      </c>
      <c r="E454" s="2183" t="s">
        <v>488</v>
      </c>
      <c r="F454" s="2183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5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87"/>
      <c r="H455" s="2195">
        <f t="shared" ref="H455:J457" si="108">H456</f>
        <v>0</v>
      </c>
      <c r="I455" s="841">
        <f t="shared" si="108"/>
        <v>0</v>
      </c>
      <c r="J455" s="276">
        <f t="shared" si="108"/>
        <v>0</v>
      </c>
      <c r="K455" s="1858"/>
      <c r="L455" s="1858"/>
      <c r="M455" s="1858"/>
      <c r="N455" s="1263">
        <f t="shared" ref="N455:N457" si="109">N456</f>
        <v>0</v>
      </c>
      <c r="O455" s="1858"/>
      <c r="P455" s="1858"/>
      <c r="Q455" s="1858"/>
      <c r="R455" s="1858"/>
      <c r="S455" s="1858"/>
      <c r="T455" s="1858"/>
      <c r="U455" s="2195">
        <f t="shared" ref="U455:U457" si="110">U456</f>
        <v>0</v>
      </c>
    </row>
    <row r="456" spans="1:21" ht="13" hidden="1" thickBot="1" x14ac:dyDescent="0.3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88"/>
      <c r="H456" s="2196">
        <f t="shared" si="108"/>
        <v>0</v>
      </c>
      <c r="I456" s="529">
        <f t="shared" si="108"/>
        <v>0</v>
      </c>
      <c r="J456" s="269">
        <f t="shared" si="108"/>
        <v>0</v>
      </c>
      <c r="K456" s="1858"/>
      <c r="L456" s="1858"/>
      <c r="M456" s="1858"/>
      <c r="N456" s="1264">
        <f t="shared" si="109"/>
        <v>0</v>
      </c>
      <c r="O456" s="1858"/>
      <c r="P456" s="1858"/>
      <c r="Q456" s="1858"/>
      <c r="R456" s="1858"/>
      <c r="S456" s="1858"/>
      <c r="T456" s="1858"/>
      <c r="U456" s="2196">
        <f t="shared" si="110"/>
        <v>0</v>
      </c>
    </row>
    <row r="457" spans="1:21" ht="13" hidden="1" thickBot="1" x14ac:dyDescent="0.3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88"/>
      <c r="H457" s="2196">
        <f t="shared" si="108"/>
        <v>0</v>
      </c>
      <c r="I457" s="529">
        <f t="shared" si="108"/>
        <v>0</v>
      </c>
      <c r="J457" s="269">
        <f t="shared" si="108"/>
        <v>0</v>
      </c>
      <c r="K457" s="1858"/>
      <c r="L457" s="1858"/>
      <c r="M457" s="1858"/>
      <c r="N457" s="1264">
        <f t="shared" si="109"/>
        <v>0</v>
      </c>
      <c r="O457" s="1858"/>
      <c r="P457" s="1858"/>
      <c r="Q457" s="1858"/>
      <c r="R457" s="1858"/>
      <c r="S457" s="1858"/>
      <c r="T457" s="1858"/>
      <c r="U457" s="2196">
        <f t="shared" si="110"/>
        <v>0</v>
      </c>
    </row>
    <row r="458" spans="1:21" ht="20.5" hidden="1" thickBot="1" x14ac:dyDescent="0.3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89" t="s">
        <v>1</v>
      </c>
      <c r="H458" s="2197"/>
      <c r="I458" s="2193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97"/>
    </row>
    <row r="459" spans="1:21" ht="13" hidden="1" thickBot="1" x14ac:dyDescent="0.3">
      <c r="A459" s="437"/>
      <c r="B459" s="438"/>
      <c r="C459" s="439"/>
      <c r="D459" s="440"/>
      <c r="E459" s="440"/>
      <c r="F459" s="440"/>
      <c r="G459" s="2190"/>
      <c r="H459" s="2198"/>
      <c r="I459" s="2194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98"/>
    </row>
    <row r="460" spans="1:21" ht="13" hidden="1" thickBot="1" x14ac:dyDescent="0.3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91"/>
      <c r="H460" s="2199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99">
        <f>U461</f>
        <v>13108.752</v>
      </c>
    </row>
    <row r="461" spans="1:21" ht="13" hidden="1" thickBot="1" x14ac:dyDescent="0.3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87"/>
      <c r="H461" s="2195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95">
        <f>U462+U475+U470</f>
        <v>13108.752</v>
      </c>
    </row>
    <row r="462" spans="1:21" ht="13" hidden="1" thickBot="1" x14ac:dyDescent="0.3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92"/>
      <c r="H462" s="2200">
        <f t="shared" ref="H462:J465" si="111">H463</f>
        <v>7296.08</v>
      </c>
      <c r="I462" s="841">
        <f t="shared" si="111"/>
        <v>6962.0999999999995</v>
      </c>
      <c r="J462" s="276">
        <f t="shared" si="111"/>
        <v>6915</v>
      </c>
      <c r="K462" s="1858"/>
      <c r="L462" s="1858"/>
      <c r="M462" s="1858"/>
      <c r="N462" s="1268">
        <f t="shared" ref="N462:N465" si="112">N463</f>
        <v>7296.08</v>
      </c>
      <c r="O462" s="1858"/>
      <c r="P462" s="1858"/>
      <c r="Q462" s="1858"/>
      <c r="R462" s="1858"/>
      <c r="S462" s="1858"/>
      <c r="T462" s="1858"/>
      <c r="U462" s="2200">
        <f t="shared" ref="U462:U465" si="113">U463</f>
        <v>7296.08</v>
      </c>
    </row>
    <row r="463" spans="1:21" ht="32" hidden="1" thickBot="1" x14ac:dyDescent="0.3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92"/>
      <c r="H463" s="2200">
        <f t="shared" si="111"/>
        <v>7296.08</v>
      </c>
      <c r="I463" s="841">
        <f t="shared" si="111"/>
        <v>6962.0999999999995</v>
      </c>
      <c r="J463" s="276">
        <f t="shared" si="111"/>
        <v>6915</v>
      </c>
      <c r="K463" s="1858"/>
      <c r="L463" s="1858"/>
      <c r="M463" s="1858"/>
      <c r="N463" s="1268">
        <f t="shared" si="112"/>
        <v>7296.08</v>
      </c>
      <c r="O463" s="1858"/>
      <c r="P463" s="1858"/>
      <c r="Q463" s="1858"/>
      <c r="R463" s="1858"/>
      <c r="S463" s="1858"/>
      <c r="T463" s="1858"/>
      <c r="U463" s="2200">
        <f t="shared" si="113"/>
        <v>7296.08</v>
      </c>
    </row>
    <row r="464" spans="1:21" ht="30.5" hidden="1" thickBot="1" x14ac:dyDescent="0.3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88"/>
      <c r="H464" s="2196">
        <f t="shared" si="111"/>
        <v>7296.08</v>
      </c>
      <c r="I464" s="529">
        <f t="shared" si="111"/>
        <v>6962.0999999999995</v>
      </c>
      <c r="J464" s="269">
        <f t="shared" si="111"/>
        <v>6915</v>
      </c>
      <c r="K464" s="1858"/>
      <c r="L464" s="1858"/>
      <c r="M464" s="1858"/>
      <c r="N464" s="1264">
        <f t="shared" si="112"/>
        <v>7296.08</v>
      </c>
      <c r="O464" s="1858"/>
      <c r="P464" s="1858"/>
      <c r="Q464" s="1858"/>
      <c r="R464" s="1858"/>
      <c r="S464" s="1858"/>
      <c r="T464" s="1858"/>
      <c r="U464" s="2196">
        <f t="shared" si="113"/>
        <v>7296.08</v>
      </c>
    </row>
    <row r="465" spans="1:21" ht="13" hidden="1" thickBot="1" x14ac:dyDescent="0.3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88"/>
      <c r="H465" s="2196">
        <f t="shared" si="111"/>
        <v>7296.08</v>
      </c>
      <c r="I465" s="529">
        <f t="shared" si="111"/>
        <v>6962.0999999999995</v>
      </c>
      <c r="J465" s="269">
        <f t="shared" si="111"/>
        <v>6915</v>
      </c>
      <c r="K465" s="1858"/>
      <c r="L465" s="1858"/>
      <c r="M465" s="1858"/>
      <c r="N465" s="1264">
        <f t="shared" si="112"/>
        <v>7296.08</v>
      </c>
      <c r="O465" s="1858"/>
      <c r="P465" s="1858"/>
      <c r="Q465" s="1858"/>
      <c r="R465" s="1858"/>
      <c r="S465" s="1858"/>
      <c r="T465" s="1858"/>
      <c r="U465" s="2196">
        <f t="shared" si="113"/>
        <v>7296.08</v>
      </c>
    </row>
    <row r="466" spans="1:21" ht="13" hidden="1" thickBot="1" x14ac:dyDescent="0.3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88"/>
      <c r="H466" s="2196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96">
        <f>U467+U468+U469</f>
        <v>7296.08</v>
      </c>
    </row>
    <row r="467" spans="1:21" ht="13" hidden="1" thickBot="1" x14ac:dyDescent="0.3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88" t="s">
        <v>255</v>
      </c>
      <c r="H467" s="2196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96">
        <f>4510.863-660.6</f>
        <v>3850.2630000000004</v>
      </c>
    </row>
    <row r="468" spans="1:21" ht="20.5" hidden="1" thickBot="1" x14ac:dyDescent="0.3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88" t="s">
        <v>1</v>
      </c>
      <c r="H468" s="2196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96">
        <f>1564.263+1880.841</f>
        <v>3445.1039999999998</v>
      </c>
    </row>
    <row r="469" spans="1:21" ht="13" hidden="1" thickBot="1" x14ac:dyDescent="0.3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88" t="s">
        <v>91</v>
      </c>
      <c r="H469" s="2196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96">
        <v>0.71299999999999997</v>
      </c>
    </row>
    <row r="470" spans="1:21" ht="21.5" hidden="1" thickBot="1" x14ac:dyDescent="0.3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" hidden="1" thickBot="1" x14ac:dyDescent="0.3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" hidden="1" thickBot="1" x14ac:dyDescent="0.3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13" hidden="1" thickBot="1" x14ac:dyDescent="0.3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3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" hidden="1" thickBot="1" x14ac:dyDescent="0.3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92"/>
      <c r="H475" s="2200">
        <f t="shared" ref="H475:J476" si="114">H476</f>
        <v>5349.2529999999997</v>
      </c>
      <c r="I475" s="841">
        <f t="shared" si="114"/>
        <v>1250.5</v>
      </c>
      <c r="J475" s="276">
        <f t="shared" si="114"/>
        <v>1348</v>
      </c>
      <c r="K475" s="1858"/>
      <c r="L475" s="1858"/>
      <c r="M475" s="1858"/>
      <c r="N475" s="1268">
        <f t="shared" ref="N475:N476" si="115">N476</f>
        <v>5498.201</v>
      </c>
      <c r="O475" s="1858"/>
      <c r="P475" s="1858"/>
      <c r="Q475" s="1858"/>
      <c r="R475" s="1858"/>
      <c r="S475" s="1858"/>
      <c r="T475" s="1858"/>
      <c r="U475" s="2200">
        <f t="shared" ref="U475:U476" si="116">U476</f>
        <v>5152.0720000000001</v>
      </c>
    </row>
    <row r="476" spans="1:21" ht="32" hidden="1" thickBot="1" x14ac:dyDescent="0.3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92"/>
      <c r="H476" s="2200">
        <f t="shared" si="114"/>
        <v>5349.2529999999997</v>
      </c>
      <c r="I476" s="841">
        <f t="shared" si="114"/>
        <v>1250.5</v>
      </c>
      <c r="J476" s="276">
        <f t="shared" si="114"/>
        <v>1348</v>
      </c>
      <c r="K476" s="1858"/>
      <c r="L476" s="1858"/>
      <c r="M476" s="1858"/>
      <c r="N476" s="1268">
        <f t="shared" si="115"/>
        <v>5498.201</v>
      </c>
      <c r="O476" s="1858"/>
      <c r="P476" s="1858"/>
      <c r="Q476" s="1858"/>
      <c r="R476" s="1858"/>
      <c r="S476" s="1858"/>
      <c r="T476" s="1858"/>
      <c r="U476" s="2200">
        <f t="shared" si="116"/>
        <v>5152.0720000000001</v>
      </c>
    </row>
    <row r="477" spans="1:21" ht="13" hidden="1" thickBot="1" x14ac:dyDescent="0.3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88"/>
      <c r="H477" s="2196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96">
        <f>U478+U481</f>
        <v>5152.0720000000001</v>
      </c>
    </row>
    <row r="478" spans="1:21" ht="13" hidden="1" thickBot="1" x14ac:dyDescent="0.3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88"/>
      <c r="H478" s="2196">
        <f t="shared" ref="H478:J479" si="117">H479</f>
        <v>1650.46</v>
      </c>
      <c r="I478" s="529">
        <f t="shared" si="117"/>
        <v>1250.5</v>
      </c>
      <c r="J478" s="269">
        <f t="shared" si="117"/>
        <v>1348</v>
      </c>
      <c r="K478" s="1858"/>
      <c r="L478" s="1858"/>
      <c r="M478" s="1858"/>
      <c r="N478" s="1264">
        <f t="shared" ref="N478:N479" si="118">N479</f>
        <v>1650.46</v>
      </c>
      <c r="O478" s="1858"/>
      <c r="P478" s="1858"/>
      <c r="Q478" s="1858"/>
      <c r="R478" s="1858"/>
      <c r="S478" s="1858"/>
      <c r="T478" s="1858"/>
      <c r="U478" s="2196">
        <f t="shared" ref="U478:U479" si="119">U479</f>
        <v>1650.46</v>
      </c>
    </row>
    <row r="479" spans="1:21" ht="13.5" hidden="1" thickBot="1" x14ac:dyDescent="0.3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88"/>
      <c r="H479" s="2196">
        <f t="shared" si="117"/>
        <v>1650.46</v>
      </c>
      <c r="I479" s="529">
        <f t="shared" si="117"/>
        <v>1250.5</v>
      </c>
      <c r="J479" s="269">
        <f t="shared" si="117"/>
        <v>1348</v>
      </c>
      <c r="K479" s="1858"/>
      <c r="L479" s="1858"/>
      <c r="M479" s="1858"/>
      <c r="N479" s="1264">
        <f t="shared" si="118"/>
        <v>1650.46</v>
      </c>
      <c r="O479" s="1858"/>
      <c r="P479" s="1858"/>
      <c r="Q479" s="1858"/>
      <c r="R479" s="1858"/>
      <c r="S479" s="1858"/>
      <c r="T479" s="1858"/>
      <c r="U479" s="2196">
        <f t="shared" si="119"/>
        <v>1650.46</v>
      </c>
    </row>
    <row r="480" spans="1:21" ht="20.5" hidden="1" thickBot="1" x14ac:dyDescent="0.3">
      <c r="A480" s="2184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89" t="s">
        <v>1</v>
      </c>
      <c r="H480" s="2197">
        <v>1650.46</v>
      </c>
      <c r="I480" s="2193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97">
        <v>1650.46</v>
      </c>
    </row>
    <row r="481" spans="1:21" ht="23.5" thickBot="1" x14ac:dyDescent="0.3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85"/>
      <c r="L481" s="2185"/>
      <c r="M481" s="2185"/>
      <c r="N481" s="1170">
        <f>N482+N582+N608+N657+N750+N760++N783+N801+N574+N826</f>
        <v>3847.741</v>
      </c>
      <c r="O481" s="2185"/>
      <c r="P481" s="2185"/>
      <c r="Q481" s="2185"/>
      <c r="R481" s="2185"/>
      <c r="S481" s="2185"/>
      <c r="T481" s="2185"/>
      <c r="U481" s="1675">
        <f>U482+U582+U608+U657+U750+U760++U783+U801+U574+U826</f>
        <v>3501.6120000000001</v>
      </c>
    </row>
    <row r="482" spans="1:21" x14ac:dyDescent="0.25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5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120">I484</f>
        <v>0</v>
      </c>
      <c r="J483" s="355">
        <f t="shared" si="12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1" hidden="1" x14ac:dyDescent="0.25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120"/>
        <v>0</v>
      </c>
      <c r="J484" s="353">
        <f t="shared" si="12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1" hidden="1" x14ac:dyDescent="0.25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120"/>
        <v>0</v>
      </c>
      <c r="J485" s="353">
        <f t="shared" si="12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5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120"/>
        <v>0</v>
      </c>
      <c r="J486" s="353">
        <f t="shared" si="12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1" hidden="1" x14ac:dyDescent="0.25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120"/>
        <v>0</v>
      </c>
      <c r="J487" s="353">
        <f t="shared" si="12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5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3" x14ac:dyDescent="0.25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21" x14ac:dyDescent="0.25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1" x14ac:dyDescent="0.25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5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1" x14ac:dyDescent="0.25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52" x14ac:dyDescent="0.25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121">H495</f>
        <v>1761.778</v>
      </c>
      <c r="I494" s="851">
        <f t="shared" si="121"/>
        <v>0</v>
      </c>
      <c r="J494" s="353">
        <f t="shared" si="121"/>
        <v>0</v>
      </c>
      <c r="K494" s="1858">
        <f t="shared" si="121"/>
        <v>0</v>
      </c>
      <c r="L494" s="1858">
        <f t="shared" si="121"/>
        <v>0</v>
      </c>
      <c r="M494" s="1858">
        <f t="shared" si="121"/>
        <v>0</v>
      </c>
      <c r="N494" s="1181">
        <f t="shared" si="121"/>
        <v>1832.249</v>
      </c>
      <c r="O494" s="1858">
        <f t="shared" si="121"/>
        <v>0</v>
      </c>
      <c r="P494" s="1858">
        <f t="shared" si="121"/>
        <v>0</v>
      </c>
      <c r="Q494" s="1858">
        <f t="shared" si="121"/>
        <v>0</v>
      </c>
      <c r="R494" s="1858">
        <f t="shared" si="121"/>
        <v>0</v>
      </c>
      <c r="S494" s="1858">
        <f t="shared" si="121"/>
        <v>0</v>
      </c>
      <c r="T494" s="1858">
        <f t="shared" si="121"/>
        <v>0</v>
      </c>
      <c r="U494" s="1678">
        <f t="shared" si="121"/>
        <v>1905.539</v>
      </c>
    </row>
    <row r="495" spans="1:21" x14ac:dyDescent="0.25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4.5" x14ac:dyDescent="0.25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21" x14ac:dyDescent="0.25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21" x14ac:dyDescent="0.25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122">H499</f>
        <v>1937.0149999999999</v>
      </c>
      <c r="I498" s="851">
        <f t="shared" si="122"/>
        <v>0</v>
      </c>
      <c r="J498" s="353">
        <f t="shared" si="122"/>
        <v>0</v>
      </c>
      <c r="K498" s="1858"/>
      <c r="L498" s="1858"/>
      <c r="M498" s="1858"/>
      <c r="N498" s="1181">
        <f t="shared" ref="N498:N499" si="123">N499</f>
        <v>2015.492</v>
      </c>
      <c r="O498" s="1858"/>
      <c r="P498" s="1858"/>
      <c r="Q498" s="1858"/>
      <c r="R498" s="1858"/>
      <c r="S498" s="1858"/>
      <c r="T498" s="1858"/>
      <c r="U498" s="1678">
        <f t="shared" ref="U498:U499" si="124">U499</f>
        <v>1596.0729999999999</v>
      </c>
    </row>
    <row r="499" spans="1:21" x14ac:dyDescent="0.25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122"/>
        <v>1937.0149999999999</v>
      </c>
      <c r="I499" s="851">
        <f t="shared" si="122"/>
        <v>0</v>
      </c>
      <c r="J499" s="353">
        <f t="shared" si="122"/>
        <v>0</v>
      </c>
      <c r="K499" s="1858"/>
      <c r="L499" s="1858"/>
      <c r="M499" s="1858"/>
      <c r="N499" s="1181">
        <f t="shared" si="123"/>
        <v>2015.492</v>
      </c>
      <c r="O499" s="1858"/>
      <c r="P499" s="1858"/>
      <c r="Q499" s="1858"/>
      <c r="R499" s="1858"/>
      <c r="S499" s="1858"/>
      <c r="T499" s="1858"/>
      <c r="U499" s="1678">
        <f t="shared" si="124"/>
        <v>1596.0729999999999</v>
      </c>
    </row>
    <row r="500" spans="1:21" x14ac:dyDescent="0.25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52" x14ac:dyDescent="0.25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125">H502</f>
        <v>994.077</v>
      </c>
      <c r="I501" s="851">
        <f t="shared" si="125"/>
        <v>0</v>
      </c>
      <c r="J501" s="1187">
        <f t="shared" si="125"/>
        <v>0</v>
      </c>
      <c r="K501" s="1858">
        <f t="shared" si="125"/>
        <v>0</v>
      </c>
      <c r="L501" s="1858">
        <f t="shared" si="125"/>
        <v>0</v>
      </c>
      <c r="M501" s="1858">
        <f t="shared" si="125"/>
        <v>0</v>
      </c>
      <c r="N501" s="1181">
        <f t="shared" si="125"/>
        <v>1033.8399999999999</v>
      </c>
      <c r="O501" s="1858">
        <f t="shared" si="125"/>
        <v>0</v>
      </c>
      <c r="P501" s="1858">
        <f t="shared" si="125"/>
        <v>0</v>
      </c>
      <c r="Q501" s="1858">
        <f t="shared" si="125"/>
        <v>0</v>
      </c>
      <c r="R501" s="1858">
        <f t="shared" si="125"/>
        <v>0</v>
      </c>
      <c r="S501" s="1858">
        <f t="shared" si="125"/>
        <v>0</v>
      </c>
      <c r="T501" s="1858">
        <f t="shared" si="125"/>
        <v>0</v>
      </c>
      <c r="U501" s="1678">
        <f t="shared" si="125"/>
        <v>1075.194</v>
      </c>
    </row>
    <row r="502" spans="1:21" x14ac:dyDescent="0.25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x14ac:dyDescent="0.25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126">H504</f>
        <v>941.93799999999999</v>
      </c>
      <c r="I503" s="851">
        <f t="shared" si="126"/>
        <v>0</v>
      </c>
      <c r="J503" s="352">
        <f t="shared" si="126"/>
        <v>0</v>
      </c>
      <c r="K503" s="1858">
        <f t="shared" si="126"/>
        <v>0</v>
      </c>
      <c r="L503" s="1858">
        <f t="shared" si="126"/>
        <v>0</v>
      </c>
      <c r="M503" s="1858">
        <f t="shared" si="126"/>
        <v>0</v>
      </c>
      <c r="N503" s="1181">
        <f t="shared" si="126"/>
        <v>980.65200000000004</v>
      </c>
      <c r="O503" s="1858">
        <f t="shared" si="126"/>
        <v>0</v>
      </c>
      <c r="P503" s="1858">
        <f t="shared" si="126"/>
        <v>0</v>
      </c>
      <c r="Q503" s="1858">
        <f t="shared" si="126"/>
        <v>0</v>
      </c>
      <c r="R503" s="1858">
        <f t="shared" si="126"/>
        <v>0</v>
      </c>
      <c r="S503" s="1858">
        <f t="shared" si="126"/>
        <v>0</v>
      </c>
      <c r="T503" s="1858">
        <f t="shared" si="126"/>
        <v>0</v>
      </c>
      <c r="U503" s="1678">
        <f t="shared" si="126"/>
        <v>519.87900000000002</v>
      </c>
    </row>
    <row r="504" spans="1:21" ht="21" x14ac:dyDescent="0.25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5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5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127">H507</f>
        <v>1</v>
      </c>
      <c r="I506" s="852">
        <f t="shared" si="127"/>
        <v>0</v>
      </c>
      <c r="J506" s="1897">
        <f t="shared" si="127"/>
        <v>0</v>
      </c>
      <c r="K506" s="1859">
        <f t="shared" si="127"/>
        <v>5</v>
      </c>
      <c r="L506" s="1858">
        <f t="shared" si="127"/>
        <v>0</v>
      </c>
      <c r="M506" s="1858">
        <f t="shared" si="127"/>
        <v>0</v>
      </c>
      <c r="N506" s="1898">
        <f t="shared" si="127"/>
        <v>1</v>
      </c>
      <c r="O506" s="1858">
        <f t="shared" si="127"/>
        <v>0</v>
      </c>
      <c r="P506" s="1858">
        <f t="shared" si="127"/>
        <v>0</v>
      </c>
      <c r="Q506" s="1858">
        <f t="shared" si="127"/>
        <v>0</v>
      </c>
      <c r="R506" s="1858">
        <f t="shared" si="127"/>
        <v>0</v>
      </c>
      <c r="S506" s="1858">
        <f t="shared" si="127"/>
        <v>0</v>
      </c>
      <c r="T506" s="1858">
        <f t="shared" si="127"/>
        <v>0</v>
      </c>
      <c r="U506" s="1896">
        <f t="shared" si="127"/>
        <v>1</v>
      </c>
    </row>
    <row r="507" spans="1:21" ht="13" thickBot="1" x14ac:dyDescent="0.3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topLeftCell="A13" zoomScale="60" zoomScaleNormal="60" workbookViewId="0">
      <selection activeCell="P25" sqref="P25"/>
    </sheetView>
  </sheetViews>
  <sheetFormatPr defaultColWidth="8.81640625" defaultRowHeight="12.5" x14ac:dyDescent="0.25"/>
  <cols>
    <col min="1" max="1" width="2.81640625" style="1751" customWidth="1"/>
    <col min="2" max="2" width="6.1796875" style="1751" customWidth="1"/>
    <col min="3" max="3" width="70.26953125" style="1751" customWidth="1"/>
    <col min="4" max="4" width="6.453125" style="1751" customWidth="1"/>
    <col min="5" max="5" width="6.7265625" style="1751" customWidth="1"/>
    <col min="6" max="6" width="18.26953125" style="1751" customWidth="1"/>
    <col min="7" max="7" width="16.54296875" style="1751" customWidth="1"/>
    <col min="8" max="9" width="15.7265625" style="1751" customWidth="1"/>
    <col min="10" max="10" width="14.54296875" style="1751" customWidth="1"/>
    <col min="11" max="246" width="8.81640625" style="1751"/>
    <col min="247" max="247" width="40.1796875" style="1751" customWidth="1"/>
    <col min="248" max="248" width="37" style="1751" customWidth="1"/>
    <col min="249" max="249" width="17.453125" style="1751" customWidth="1"/>
    <col min="250" max="250" width="19.453125" style="1751" customWidth="1"/>
    <col min="251" max="251" width="0" style="1751" hidden="1" customWidth="1"/>
    <col min="252" max="252" width="21.7265625" style="1751" customWidth="1"/>
    <col min="253" max="253" width="71" style="1751" customWidth="1"/>
    <col min="254" max="255" width="0" style="1751" hidden="1" customWidth="1"/>
    <col min="256" max="256" width="13.7265625" style="1751" customWidth="1"/>
    <col min="257" max="502" width="8.81640625" style="1751"/>
    <col min="503" max="503" width="40.1796875" style="1751" customWidth="1"/>
    <col min="504" max="504" width="37" style="1751" customWidth="1"/>
    <col min="505" max="505" width="17.453125" style="1751" customWidth="1"/>
    <col min="506" max="506" width="19.453125" style="1751" customWidth="1"/>
    <col min="507" max="507" width="0" style="1751" hidden="1" customWidth="1"/>
    <col min="508" max="508" width="21.7265625" style="1751" customWidth="1"/>
    <col min="509" max="509" width="71" style="1751" customWidth="1"/>
    <col min="510" max="511" width="0" style="1751" hidden="1" customWidth="1"/>
    <col min="512" max="512" width="13.7265625" style="1751" customWidth="1"/>
    <col min="513" max="758" width="8.81640625" style="1751"/>
    <col min="759" max="759" width="40.1796875" style="1751" customWidth="1"/>
    <col min="760" max="760" width="37" style="1751" customWidth="1"/>
    <col min="761" max="761" width="17.453125" style="1751" customWidth="1"/>
    <col min="762" max="762" width="19.453125" style="1751" customWidth="1"/>
    <col min="763" max="763" width="0" style="1751" hidden="1" customWidth="1"/>
    <col min="764" max="764" width="21.7265625" style="1751" customWidth="1"/>
    <col min="765" max="765" width="71" style="1751" customWidth="1"/>
    <col min="766" max="767" width="0" style="1751" hidden="1" customWidth="1"/>
    <col min="768" max="768" width="13.7265625" style="1751" customWidth="1"/>
    <col min="769" max="1014" width="8.81640625" style="1751"/>
    <col min="1015" max="1015" width="40.1796875" style="1751" customWidth="1"/>
    <col min="1016" max="1016" width="37" style="1751" customWidth="1"/>
    <col min="1017" max="1017" width="17.453125" style="1751" customWidth="1"/>
    <col min="1018" max="1018" width="19.453125" style="1751" customWidth="1"/>
    <col min="1019" max="1019" width="0" style="1751" hidden="1" customWidth="1"/>
    <col min="1020" max="1020" width="21.7265625" style="1751" customWidth="1"/>
    <col min="1021" max="1021" width="71" style="1751" customWidth="1"/>
    <col min="1022" max="1023" width="0" style="1751" hidden="1" customWidth="1"/>
    <col min="1024" max="1024" width="13.7265625" style="1751" customWidth="1"/>
    <col min="1025" max="1270" width="8.81640625" style="1751"/>
    <col min="1271" max="1271" width="40.1796875" style="1751" customWidth="1"/>
    <col min="1272" max="1272" width="37" style="1751" customWidth="1"/>
    <col min="1273" max="1273" width="17.453125" style="1751" customWidth="1"/>
    <col min="1274" max="1274" width="19.453125" style="1751" customWidth="1"/>
    <col min="1275" max="1275" width="0" style="1751" hidden="1" customWidth="1"/>
    <col min="1276" max="1276" width="21.7265625" style="1751" customWidth="1"/>
    <col min="1277" max="1277" width="71" style="1751" customWidth="1"/>
    <col min="1278" max="1279" width="0" style="1751" hidden="1" customWidth="1"/>
    <col min="1280" max="1280" width="13.7265625" style="1751" customWidth="1"/>
    <col min="1281" max="1526" width="8.81640625" style="1751"/>
    <col min="1527" max="1527" width="40.1796875" style="1751" customWidth="1"/>
    <col min="1528" max="1528" width="37" style="1751" customWidth="1"/>
    <col min="1529" max="1529" width="17.453125" style="1751" customWidth="1"/>
    <col min="1530" max="1530" width="19.453125" style="1751" customWidth="1"/>
    <col min="1531" max="1531" width="0" style="1751" hidden="1" customWidth="1"/>
    <col min="1532" max="1532" width="21.7265625" style="1751" customWidth="1"/>
    <col min="1533" max="1533" width="71" style="1751" customWidth="1"/>
    <col min="1534" max="1535" width="0" style="1751" hidden="1" customWidth="1"/>
    <col min="1536" max="1536" width="13.7265625" style="1751" customWidth="1"/>
    <col min="1537" max="1782" width="8.81640625" style="1751"/>
    <col min="1783" max="1783" width="40.1796875" style="1751" customWidth="1"/>
    <col min="1784" max="1784" width="37" style="1751" customWidth="1"/>
    <col min="1785" max="1785" width="17.453125" style="1751" customWidth="1"/>
    <col min="1786" max="1786" width="19.453125" style="1751" customWidth="1"/>
    <col min="1787" max="1787" width="0" style="1751" hidden="1" customWidth="1"/>
    <col min="1788" max="1788" width="21.7265625" style="1751" customWidth="1"/>
    <col min="1789" max="1789" width="71" style="1751" customWidth="1"/>
    <col min="1790" max="1791" width="0" style="1751" hidden="1" customWidth="1"/>
    <col min="1792" max="1792" width="13.7265625" style="1751" customWidth="1"/>
    <col min="1793" max="2038" width="8.81640625" style="1751"/>
    <col min="2039" max="2039" width="40.1796875" style="1751" customWidth="1"/>
    <col min="2040" max="2040" width="37" style="1751" customWidth="1"/>
    <col min="2041" max="2041" width="17.453125" style="1751" customWidth="1"/>
    <col min="2042" max="2042" width="19.453125" style="1751" customWidth="1"/>
    <col min="2043" max="2043" width="0" style="1751" hidden="1" customWidth="1"/>
    <col min="2044" max="2044" width="21.7265625" style="1751" customWidth="1"/>
    <col min="2045" max="2045" width="71" style="1751" customWidth="1"/>
    <col min="2046" max="2047" width="0" style="1751" hidden="1" customWidth="1"/>
    <col min="2048" max="2048" width="13.7265625" style="1751" customWidth="1"/>
    <col min="2049" max="2294" width="8.81640625" style="1751"/>
    <col min="2295" max="2295" width="40.1796875" style="1751" customWidth="1"/>
    <col min="2296" max="2296" width="37" style="1751" customWidth="1"/>
    <col min="2297" max="2297" width="17.453125" style="1751" customWidth="1"/>
    <col min="2298" max="2298" width="19.453125" style="1751" customWidth="1"/>
    <col min="2299" max="2299" width="0" style="1751" hidden="1" customWidth="1"/>
    <col min="2300" max="2300" width="21.7265625" style="1751" customWidth="1"/>
    <col min="2301" max="2301" width="71" style="1751" customWidth="1"/>
    <col min="2302" max="2303" width="0" style="1751" hidden="1" customWidth="1"/>
    <col min="2304" max="2304" width="13.7265625" style="1751" customWidth="1"/>
    <col min="2305" max="2550" width="8.81640625" style="1751"/>
    <col min="2551" max="2551" width="40.1796875" style="1751" customWidth="1"/>
    <col min="2552" max="2552" width="37" style="1751" customWidth="1"/>
    <col min="2553" max="2553" width="17.453125" style="1751" customWidth="1"/>
    <col min="2554" max="2554" width="19.453125" style="1751" customWidth="1"/>
    <col min="2555" max="2555" width="0" style="1751" hidden="1" customWidth="1"/>
    <col min="2556" max="2556" width="21.7265625" style="1751" customWidth="1"/>
    <col min="2557" max="2557" width="71" style="1751" customWidth="1"/>
    <col min="2558" max="2559" width="0" style="1751" hidden="1" customWidth="1"/>
    <col min="2560" max="2560" width="13.7265625" style="1751" customWidth="1"/>
    <col min="2561" max="2806" width="8.81640625" style="1751"/>
    <col min="2807" max="2807" width="40.1796875" style="1751" customWidth="1"/>
    <col min="2808" max="2808" width="37" style="1751" customWidth="1"/>
    <col min="2809" max="2809" width="17.453125" style="1751" customWidth="1"/>
    <col min="2810" max="2810" width="19.453125" style="1751" customWidth="1"/>
    <col min="2811" max="2811" width="0" style="1751" hidden="1" customWidth="1"/>
    <col min="2812" max="2812" width="21.7265625" style="1751" customWidth="1"/>
    <col min="2813" max="2813" width="71" style="1751" customWidth="1"/>
    <col min="2814" max="2815" width="0" style="1751" hidden="1" customWidth="1"/>
    <col min="2816" max="2816" width="13.7265625" style="1751" customWidth="1"/>
    <col min="2817" max="3062" width="8.81640625" style="1751"/>
    <col min="3063" max="3063" width="40.1796875" style="1751" customWidth="1"/>
    <col min="3064" max="3064" width="37" style="1751" customWidth="1"/>
    <col min="3065" max="3065" width="17.453125" style="1751" customWidth="1"/>
    <col min="3066" max="3066" width="19.453125" style="1751" customWidth="1"/>
    <col min="3067" max="3067" width="0" style="1751" hidden="1" customWidth="1"/>
    <col min="3068" max="3068" width="21.7265625" style="1751" customWidth="1"/>
    <col min="3069" max="3069" width="71" style="1751" customWidth="1"/>
    <col min="3070" max="3071" width="0" style="1751" hidden="1" customWidth="1"/>
    <col min="3072" max="3072" width="13.7265625" style="1751" customWidth="1"/>
    <col min="3073" max="3318" width="8.81640625" style="1751"/>
    <col min="3319" max="3319" width="40.1796875" style="1751" customWidth="1"/>
    <col min="3320" max="3320" width="37" style="1751" customWidth="1"/>
    <col min="3321" max="3321" width="17.453125" style="1751" customWidth="1"/>
    <col min="3322" max="3322" width="19.453125" style="1751" customWidth="1"/>
    <col min="3323" max="3323" width="0" style="1751" hidden="1" customWidth="1"/>
    <col min="3324" max="3324" width="21.7265625" style="1751" customWidth="1"/>
    <col min="3325" max="3325" width="71" style="1751" customWidth="1"/>
    <col min="3326" max="3327" width="0" style="1751" hidden="1" customWidth="1"/>
    <col min="3328" max="3328" width="13.7265625" style="1751" customWidth="1"/>
    <col min="3329" max="3574" width="8.81640625" style="1751"/>
    <col min="3575" max="3575" width="40.1796875" style="1751" customWidth="1"/>
    <col min="3576" max="3576" width="37" style="1751" customWidth="1"/>
    <col min="3577" max="3577" width="17.453125" style="1751" customWidth="1"/>
    <col min="3578" max="3578" width="19.453125" style="1751" customWidth="1"/>
    <col min="3579" max="3579" width="0" style="1751" hidden="1" customWidth="1"/>
    <col min="3580" max="3580" width="21.7265625" style="1751" customWidth="1"/>
    <col min="3581" max="3581" width="71" style="1751" customWidth="1"/>
    <col min="3582" max="3583" width="0" style="1751" hidden="1" customWidth="1"/>
    <col min="3584" max="3584" width="13.7265625" style="1751" customWidth="1"/>
    <col min="3585" max="3830" width="8.81640625" style="1751"/>
    <col min="3831" max="3831" width="40.1796875" style="1751" customWidth="1"/>
    <col min="3832" max="3832" width="37" style="1751" customWidth="1"/>
    <col min="3833" max="3833" width="17.453125" style="1751" customWidth="1"/>
    <col min="3834" max="3834" width="19.453125" style="1751" customWidth="1"/>
    <col min="3835" max="3835" width="0" style="1751" hidden="1" customWidth="1"/>
    <col min="3836" max="3836" width="21.7265625" style="1751" customWidth="1"/>
    <col min="3837" max="3837" width="71" style="1751" customWidth="1"/>
    <col min="3838" max="3839" width="0" style="1751" hidden="1" customWidth="1"/>
    <col min="3840" max="3840" width="13.7265625" style="1751" customWidth="1"/>
    <col min="3841" max="4086" width="8.81640625" style="1751"/>
    <col min="4087" max="4087" width="40.1796875" style="1751" customWidth="1"/>
    <col min="4088" max="4088" width="37" style="1751" customWidth="1"/>
    <col min="4089" max="4089" width="17.453125" style="1751" customWidth="1"/>
    <col min="4090" max="4090" width="19.453125" style="1751" customWidth="1"/>
    <col min="4091" max="4091" width="0" style="1751" hidden="1" customWidth="1"/>
    <col min="4092" max="4092" width="21.7265625" style="1751" customWidth="1"/>
    <col min="4093" max="4093" width="71" style="1751" customWidth="1"/>
    <col min="4094" max="4095" width="0" style="1751" hidden="1" customWidth="1"/>
    <col min="4096" max="4096" width="13.7265625" style="1751" customWidth="1"/>
    <col min="4097" max="4342" width="8.81640625" style="1751"/>
    <col min="4343" max="4343" width="40.1796875" style="1751" customWidth="1"/>
    <col min="4344" max="4344" width="37" style="1751" customWidth="1"/>
    <col min="4345" max="4345" width="17.453125" style="1751" customWidth="1"/>
    <col min="4346" max="4346" width="19.453125" style="1751" customWidth="1"/>
    <col min="4347" max="4347" width="0" style="1751" hidden="1" customWidth="1"/>
    <col min="4348" max="4348" width="21.7265625" style="1751" customWidth="1"/>
    <col min="4349" max="4349" width="71" style="1751" customWidth="1"/>
    <col min="4350" max="4351" width="0" style="1751" hidden="1" customWidth="1"/>
    <col min="4352" max="4352" width="13.7265625" style="1751" customWidth="1"/>
    <col min="4353" max="4598" width="8.81640625" style="1751"/>
    <col min="4599" max="4599" width="40.1796875" style="1751" customWidth="1"/>
    <col min="4600" max="4600" width="37" style="1751" customWidth="1"/>
    <col min="4601" max="4601" width="17.453125" style="1751" customWidth="1"/>
    <col min="4602" max="4602" width="19.453125" style="1751" customWidth="1"/>
    <col min="4603" max="4603" width="0" style="1751" hidden="1" customWidth="1"/>
    <col min="4604" max="4604" width="21.7265625" style="1751" customWidth="1"/>
    <col min="4605" max="4605" width="71" style="1751" customWidth="1"/>
    <col min="4606" max="4607" width="0" style="1751" hidden="1" customWidth="1"/>
    <col min="4608" max="4608" width="13.7265625" style="1751" customWidth="1"/>
    <col min="4609" max="4854" width="8.81640625" style="1751"/>
    <col min="4855" max="4855" width="40.1796875" style="1751" customWidth="1"/>
    <col min="4856" max="4856" width="37" style="1751" customWidth="1"/>
    <col min="4857" max="4857" width="17.453125" style="1751" customWidth="1"/>
    <col min="4858" max="4858" width="19.453125" style="1751" customWidth="1"/>
    <col min="4859" max="4859" width="0" style="1751" hidden="1" customWidth="1"/>
    <col min="4860" max="4860" width="21.7265625" style="1751" customWidth="1"/>
    <col min="4861" max="4861" width="71" style="1751" customWidth="1"/>
    <col min="4862" max="4863" width="0" style="1751" hidden="1" customWidth="1"/>
    <col min="4864" max="4864" width="13.7265625" style="1751" customWidth="1"/>
    <col min="4865" max="5110" width="8.81640625" style="1751"/>
    <col min="5111" max="5111" width="40.1796875" style="1751" customWidth="1"/>
    <col min="5112" max="5112" width="37" style="1751" customWidth="1"/>
    <col min="5113" max="5113" width="17.453125" style="1751" customWidth="1"/>
    <col min="5114" max="5114" width="19.453125" style="1751" customWidth="1"/>
    <col min="5115" max="5115" width="0" style="1751" hidden="1" customWidth="1"/>
    <col min="5116" max="5116" width="21.7265625" style="1751" customWidth="1"/>
    <col min="5117" max="5117" width="71" style="1751" customWidth="1"/>
    <col min="5118" max="5119" width="0" style="1751" hidden="1" customWidth="1"/>
    <col min="5120" max="5120" width="13.7265625" style="1751" customWidth="1"/>
    <col min="5121" max="5366" width="8.81640625" style="1751"/>
    <col min="5367" max="5367" width="40.1796875" style="1751" customWidth="1"/>
    <col min="5368" max="5368" width="37" style="1751" customWidth="1"/>
    <col min="5369" max="5369" width="17.453125" style="1751" customWidth="1"/>
    <col min="5370" max="5370" width="19.453125" style="1751" customWidth="1"/>
    <col min="5371" max="5371" width="0" style="1751" hidden="1" customWidth="1"/>
    <col min="5372" max="5372" width="21.7265625" style="1751" customWidth="1"/>
    <col min="5373" max="5373" width="71" style="1751" customWidth="1"/>
    <col min="5374" max="5375" width="0" style="1751" hidden="1" customWidth="1"/>
    <col min="5376" max="5376" width="13.7265625" style="1751" customWidth="1"/>
    <col min="5377" max="5622" width="8.81640625" style="1751"/>
    <col min="5623" max="5623" width="40.1796875" style="1751" customWidth="1"/>
    <col min="5624" max="5624" width="37" style="1751" customWidth="1"/>
    <col min="5625" max="5625" width="17.453125" style="1751" customWidth="1"/>
    <col min="5626" max="5626" width="19.453125" style="1751" customWidth="1"/>
    <col min="5627" max="5627" width="0" style="1751" hidden="1" customWidth="1"/>
    <col min="5628" max="5628" width="21.7265625" style="1751" customWidth="1"/>
    <col min="5629" max="5629" width="71" style="1751" customWidth="1"/>
    <col min="5630" max="5631" width="0" style="1751" hidden="1" customWidth="1"/>
    <col min="5632" max="5632" width="13.7265625" style="1751" customWidth="1"/>
    <col min="5633" max="5878" width="8.81640625" style="1751"/>
    <col min="5879" max="5879" width="40.1796875" style="1751" customWidth="1"/>
    <col min="5880" max="5880" width="37" style="1751" customWidth="1"/>
    <col min="5881" max="5881" width="17.453125" style="1751" customWidth="1"/>
    <col min="5882" max="5882" width="19.453125" style="1751" customWidth="1"/>
    <col min="5883" max="5883" width="0" style="1751" hidden="1" customWidth="1"/>
    <col min="5884" max="5884" width="21.7265625" style="1751" customWidth="1"/>
    <col min="5885" max="5885" width="71" style="1751" customWidth="1"/>
    <col min="5886" max="5887" width="0" style="1751" hidden="1" customWidth="1"/>
    <col min="5888" max="5888" width="13.7265625" style="1751" customWidth="1"/>
    <col min="5889" max="6134" width="8.81640625" style="1751"/>
    <col min="6135" max="6135" width="40.1796875" style="1751" customWidth="1"/>
    <col min="6136" max="6136" width="37" style="1751" customWidth="1"/>
    <col min="6137" max="6137" width="17.453125" style="1751" customWidth="1"/>
    <col min="6138" max="6138" width="19.453125" style="1751" customWidth="1"/>
    <col min="6139" max="6139" width="0" style="1751" hidden="1" customWidth="1"/>
    <col min="6140" max="6140" width="21.7265625" style="1751" customWidth="1"/>
    <col min="6141" max="6141" width="71" style="1751" customWidth="1"/>
    <col min="6142" max="6143" width="0" style="1751" hidden="1" customWidth="1"/>
    <col min="6144" max="6144" width="13.7265625" style="1751" customWidth="1"/>
    <col min="6145" max="6390" width="8.81640625" style="1751"/>
    <col min="6391" max="6391" width="40.1796875" style="1751" customWidth="1"/>
    <col min="6392" max="6392" width="37" style="1751" customWidth="1"/>
    <col min="6393" max="6393" width="17.453125" style="1751" customWidth="1"/>
    <col min="6394" max="6394" width="19.453125" style="1751" customWidth="1"/>
    <col min="6395" max="6395" width="0" style="1751" hidden="1" customWidth="1"/>
    <col min="6396" max="6396" width="21.7265625" style="1751" customWidth="1"/>
    <col min="6397" max="6397" width="71" style="1751" customWidth="1"/>
    <col min="6398" max="6399" width="0" style="1751" hidden="1" customWidth="1"/>
    <col min="6400" max="6400" width="13.7265625" style="1751" customWidth="1"/>
    <col min="6401" max="6646" width="8.81640625" style="1751"/>
    <col min="6647" max="6647" width="40.1796875" style="1751" customWidth="1"/>
    <col min="6648" max="6648" width="37" style="1751" customWidth="1"/>
    <col min="6649" max="6649" width="17.453125" style="1751" customWidth="1"/>
    <col min="6650" max="6650" width="19.453125" style="1751" customWidth="1"/>
    <col min="6651" max="6651" width="0" style="1751" hidden="1" customWidth="1"/>
    <col min="6652" max="6652" width="21.7265625" style="1751" customWidth="1"/>
    <col min="6653" max="6653" width="71" style="1751" customWidth="1"/>
    <col min="6654" max="6655" width="0" style="1751" hidden="1" customWidth="1"/>
    <col min="6656" max="6656" width="13.7265625" style="1751" customWidth="1"/>
    <col min="6657" max="6902" width="8.81640625" style="1751"/>
    <col min="6903" max="6903" width="40.1796875" style="1751" customWidth="1"/>
    <col min="6904" max="6904" width="37" style="1751" customWidth="1"/>
    <col min="6905" max="6905" width="17.453125" style="1751" customWidth="1"/>
    <col min="6906" max="6906" width="19.453125" style="1751" customWidth="1"/>
    <col min="6907" max="6907" width="0" style="1751" hidden="1" customWidth="1"/>
    <col min="6908" max="6908" width="21.7265625" style="1751" customWidth="1"/>
    <col min="6909" max="6909" width="71" style="1751" customWidth="1"/>
    <col min="6910" max="6911" width="0" style="1751" hidden="1" customWidth="1"/>
    <col min="6912" max="6912" width="13.7265625" style="1751" customWidth="1"/>
    <col min="6913" max="7158" width="8.81640625" style="1751"/>
    <col min="7159" max="7159" width="40.1796875" style="1751" customWidth="1"/>
    <col min="7160" max="7160" width="37" style="1751" customWidth="1"/>
    <col min="7161" max="7161" width="17.453125" style="1751" customWidth="1"/>
    <col min="7162" max="7162" width="19.453125" style="1751" customWidth="1"/>
    <col min="7163" max="7163" width="0" style="1751" hidden="1" customWidth="1"/>
    <col min="7164" max="7164" width="21.7265625" style="1751" customWidth="1"/>
    <col min="7165" max="7165" width="71" style="1751" customWidth="1"/>
    <col min="7166" max="7167" width="0" style="1751" hidden="1" customWidth="1"/>
    <col min="7168" max="7168" width="13.7265625" style="1751" customWidth="1"/>
    <col min="7169" max="7414" width="8.81640625" style="1751"/>
    <col min="7415" max="7415" width="40.1796875" style="1751" customWidth="1"/>
    <col min="7416" max="7416" width="37" style="1751" customWidth="1"/>
    <col min="7417" max="7417" width="17.453125" style="1751" customWidth="1"/>
    <col min="7418" max="7418" width="19.453125" style="1751" customWidth="1"/>
    <col min="7419" max="7419" width="0" style="1751" hidden="1" customWidth="1"/>
    <col min="7420" max="7420" width="21.7265625" style="1751" customWidth="1"/>
    <col min="7421" max="7421" width="71" style="1751" customWidth="1"/>
    <col min="7422" max="7423" width="0" style="1751" hidden="1" customWidth="1"/>
    <col min="7424" max="7424" width="13.7265625" style="1751" customWidth="1"/>
    <col min="7425" max="7670" width="8.81640625" style="1751"/>
    <col min="7671" max="7671" width="40.1796875" style="1751" customWidth="1"/>
    <col min="7672" max="7672" width="37" style="1751" customWidth="1"/>
    <col min="7673" max="7673" width="17.453125" style="1751" customWidth="1"/>
    <col min="7674" max="7674" width="19.453125" style="1751" customWidth="1"/>
    <col min="7675" max="7675" width="0" style="1751" hidden="1" customWidth="1"/>
    <col min="7676" max="7676" width="21.7265625" style="1751" customWidth="1"/>
    <col min="7677" max="7677" width="71" style="1751" customWidth="1"/>
    <col min="7678" max="7679" width="0" style="1751" hidden="1" customWidth="1"/>
    <col min="7680" max="7680" width="13.7265625" style="1751" customWidth="1"/>
    <col min="7681" max="7926" width="8.81640625" style="1751"/>
    <col min="7927" max="7927" width="40.1796875" style="1751" customWidth="1"/>
    <col min="7928" max="7928" width="37" style="1751" customWidth="1"/>
    <col min="7929" max="7929" width="17.453125" style="1751" customWidth="1"/>
    <col min="7930" max="7930" width="19.453125" style="1751" customWidth="1"/>
    <col min="7931" max="7931" width="0" style="1751" hidden="1" customWidth="1"/>
    <col min="7932" max="7932" width="21.7265625" style="1751" customWidth="1"/>
    <col min="7933" max="7933" width="71" style="1751" customWidth="1"/>
    <col min="7934" max="7935" width="0" style="1751" hidden="1" customWidth="1"/>
    <col min="7936" max="7936" width="13.7265625" style="1751" customWidth="1"/>
    <col min="7937" max="8182" width="8.81640625" style="1751"/>
    <col min="8183" max="8183" width="40.1796875" style="1751" customWidth="1"/>
    <col min="8184" max="8184" width="37" style="1751" customWidth="1"/>
    <col min="8185" max="8185" width="17.453125" style="1751" customWidth="1"/>
    <col min="8186" max="8186" width="19.453125" style="1751" customWidth="1"/>
    <col min="8187" max="8187" width="0" style="1751" hidden="1" customWidth="1"/>
    <col min="8188" max="8188" width="21.7265625" style="1751" customWidth="1"/>
    <col min="8189" max="8189" width="71" style="1751" customWidth="1"/>
    <col min="8190" max="8191" width="0" style="1751" hidden="1" customWidth="1"/>
    <col min="8192" max="8192" width="13.7265625" style="1751" customWidth="1"/>
    <col min="8193" max="8438" width="8.81640625" style="1751"/>
    <col min="8439" max="8439" width="40.1796875" style="1751" customWidth="1"/>
    <col min="8440" max="8440" width="37" style="1751" customWidth="1"/>
    <col min="8441" max="8441" width="17.453125" style="1751" customWidth="1"/>
    <col min="8442" max="8442" width="19.453125" style="1751" customWidth="1"/>
    <col min="8443" max="8443" width="0" style="1751" hidden="1" customWidth="1"/>
    <col min="8444" max="8444" width="21.7265625" style="1751" customWidth="1"/>
    <col min="8445" max="8445" width="71" style="1751" customWidth="1"/>
    <col min="8446" max="8447" width="0" style="1751" hidden="1" customWidth="1"/>
    <col min="8448" max="8448" width="13.7265625" style="1751" customWidth="1"/>
    <col min="8449" max="8694" width="8.81640625" style="1751"/>
    <col min="8695" max="8695" width="40.1796875" style="1751" customWidth="1"/>
    <col min="8696" max="8696" width="37" style="1751" customWidth="1"/>
    <col min="8697" max="8697" width="17.453125" style="1751" customWidth="1"/>
    <col min="8698" max="8698" width="19.453125" style="1751" customWidth="1"/>
    <col min="8699" max="8699" width="0" style="1751" hidden="1" customWidth="1"/>
    <col min="8700" max="8700" width="21.7265625" style="1751" customWidth="1"/>
    <col min="8701" max="8701" width="71" style="1751" customWidth="1"/>
    <col min="8702" max="8703" width="0" style="1751" hidden="1" customWidth="1"/>
    <col min="8704" max="8704" width="13.7265625" style="1751" customWidth="1"/>
    <col min="8705" max="8950" width="8.81640625" style="1751"/>
    <col min="8951" max="8951" width="40.1796875" style="1751" customWidth="1"/>
    <col min="8952" max="8952" width="37" style="1751" customWidth="1"/>
    <col min="8953" max="8953" width="17.453125" style="1751" customWidth="1"/>
    <col min="8954" max="8954" width="19.453125" style="1751" customWidth="1"/>
    <col min="8955" max="8955" width="0" style="1751" hidden="1" customWidth="1"/>
    <col min="8956" max="8956" width="21.7265625" style="1751" customWidth="1"/>
    <col min="8957" max="8957" width="71" style="1751" customWidth="1"/>
    <col min="8958" max="8959" width="0" style="1751" hidden="1" customWidth="1"/>
    <col min="8960" max="8960" width="13.7265625" style="1751" customWidth="1"/>
    <col min="8961" max="9206" width="8.81640625" style="1751"/>
    <col min="9207" max="9207" width="40.1796875" style="1751" customWidth="1"/>
    <col min="9208" max="9208" width="37" style="1751" customWidth="1"/>
    <col min="9209" max="9209" width="17.453125" style="1751" customWidth="1"/>
    <col min="9210" max="9210" width="19.453125" style="1751" customWidth="1"/>
    <col min="9211" max="9211" width="0" style="1751" hidden="1" customWidth="1"/>
    <col min="9212" max="9212" width="21.7265625" style="1751" customWidth="1"/>
    <col min="9213" max="9213" width="71" style="1751" customWidth="1"/>
    <col min="9214" max="9215" width="0" style="1751" hidden="1" customWidth="1"/>
    <col min="9216" max="9216" width="13.7265625" style="1751" customWidth="1"/>
    <col min="9217" max="9462" width="8.81640625" style="1751"/>
    <col min="9463" max="9463" width="40.1796875" style="1751" customWidth="1"/>
    <col min="9464" max="9464" width="37" style="1751" customWidth="1"/>
    <col min="9465" max="9465" width="17.453125" style="1751" customWidth="1"/>
    <col min="9466" max="9466" width="19.453125" style="1751" customWidth="1"/>
    <col min="9467" max="9467" width="0" style="1751" hidden="1" customWidth="1"/>
    <col min="9468" max="9468" width="21.7265625" style="1751" customWidth="1"/>
    <col min="9469" max="9469" width="71" style="1751" customWidth="1"/>
    <col min="9470" max="9471" width="0" style="1751" hidden="1" customWidth="1"/>
    <col min="9472" max="9472" width="13.7265625" style="1751" customWidth="1"/>
    <col min="9473" max="9718" width="8.81640625" style="1751"/>
    <col min="9719" max="9719" width="40.1796875" style="1751" customWidth="1"/>
    <col min="9720" max="9720" width="37" style="1751" customWidth="1"/>
    <col min="9721" max="9721" width="17.453125" style="1751" customWidth="1"/>
    <col min="9722" max="9722" width="19.453125" style="1751" customWidth="1"/>
    <col min="9723" max="9723" width="0" style="1751" hidden="1" customWidth="1"/>
    <col min="9724" max="9724" width="21.7265625" style="1751" customWidth="1"/>
    <col min="9725" max="9725" width="71" style="1751" customWidth="1"/>
    <col min="9726" max="9727" width="0" style="1751" hidden="1" customWidth="1"/>
    <col min="9728" max="9728" width="13.7265625" style="1751" customWidth="1"/>
    <col min="9729" max="9974" width="8.81640625" style="1751"/>
    <col min="9975" max="9975" width="40.1796875" style="1751" customWidth="1"/>
    <col min="9976" max="9976" width="37" style="1751" customWidth="1"/>
    <col min="9977" max="9977" width="17.453125" style="1751" customWidth="1"/>
    <col min="9978" max="9978" width="19.453125" style="1751" customWidth="1"/>
    <col min="9979" max="9979" width="0" style="1751" hidden="1" customWidth="1"/>
    <col min="9980" max="9980" width="21.7265625" style="1751" customWidth="1"/>
    <col min="9981" max="9981" width="71" style="1751" customWidth="1"/>
    <col min="9982" max="9983" width="0" style="1751" hidden="1" customWidth="1"/>
    <col min="9984" max="9984" width="13.7265625" style="1751" customWidth="1"/>
    <col min="9985" max="10230" width="8.81640625" style="1751"/>
    <col min="10231" max="10231" width="40.1796875" style="1751" customWidth="1"/>
    <col min="10232" max="10232" width="37" style="1751" customWidth="1"/>
    <col min="10233" max="10233" width="17.453125" style="1751" customWidth="1"/>
    <col min="10234" max="10234" width="19.453125" style="1751" customWidth="1"/>
    <col min="10235" max="10235" width="0" style="1751" hidden="1" customWidth="1"/>
    <col min="10236" max="10236" width="21.7265625" style="1751" customWidth="1"/>
    <col min="10237" max="10237" width="71" style="1751" customWidth="1"/>
    <col min="10238" max="10239" width="0" style="1751" hidden="1" customWidth="1"/>
    <col min="10240" max="10240" width="13.7265625" style="1751" customWidth="1"/>
    <col min="10241" max="10486" width="8.81640625" style="1751"/>
    <col min="10487" max="10487" width="40.1796875" style="1751" customWidth="1"/>
    <col min="10488" max="10488" width="37" style="1751" customWidth="1"/>
    <col min="10489" max="10489" width="17.453125" style="1751" customWidth="1"/>
    <col min="10490" max="10490" width="19.453125" style="1751" customWidth="1"/>
    <col min="10491" max="10491" width="0" style="1751" hidden="1" customWidth="1"/>
    <col min="10492" max="10492" width="21.7265625" style="1751" customWidth="1"/>
    <col min="10493" max="10493" width="71" style="1751" customWidth="1"/>
    <col min="10494" max="10495" width="0" style="1751" hidden="1" customWidth="1"/>
    <col min="10496" max="10496" width="13.7265625" style="1751" customWidth="1"/>
    <col min="10497" max="10742" width="8.81640625" style="1751"/>
    <col min="10743" max="10743" width="40.1796875" style="1751" customWidth="1"/>
    <col min="10744" max="10744" width="37" style="1751" customWidth="1"/>
    <col min="10745" max="10745" width="17.453125" style="1751" customWidth="1"/>
    <col min="10746" max="10746" width="19.453125" style="1751" customWidth="1"/>
    <col min="10747" max="10747" width="0" style="1751" hidden="1" customWidth="1"/>
    <col min="10748" max="10748" width="21.7265625" style="1751" customWidth="1"/>
    <col min="10749" max="10749" width="71" style="1751" customWidth="1"/>
    <col min="10750" max="10751" width="0" style="1751" hidden="1" customWidth="1"/>
    <col min="10752" max="10752" width="13.7265625" style="1751" customWidth="1"/>
    <col min="10753" max="10998" width="8.81640625" style="1751"/>
    <col min="10999" max="10999" width="40.1796875" style="1751" customWidth="1"/>
    <col min="11000" max="11000" width="37" style="1751" customWidth="1"/>
    <col min="11001" max="11001" width="17.453125" style="1751" customWidth="1"/>
    <col min="11002" max="11002" width="19.453125" style="1751" customWidth="1"/>
    <col min="11003" max="11003" width="0" style="1751" hidden="1" customWidth="1"/>
    <col min="11004" max="11004" width="21.7265625" style="1751" customWidth="1"/>
    <col min="11005" max="11005" width="71" style="1751" customWidth="1"/>
    <col min="11006" max="11007" width="0" style="1751" hidden="1" customWidth="1"/>
    <col min="11008" max="11008" width="13.7265625" style="1751" customWidth="1"/>
    <col min="11009" max="11254" width="8.81640625" style="1751"/>
    <col min="11255" max="11255" width="40.1796875" style="1751" customWidth="1"/>
    <col min="11256" max="11256" width="37" style="1751" customWidth="1"/>
    <col min="11257" max="11257" width="17.453125" style="1751" customWidth="1"/>
    <col min="11258" max="11258" width="19.453125" style="1751" customWidth="1"/>
    <col min="11259" max="11259" width="0" style="1751" hidden="1" customWidth="1"/>
    <col min="11260" max="11260" width="21.7265625" style="1751" customWidth="1"/>
    <col min="11261" max="11261" width="71" style="1751" customWidth="1"/>
    <col min="11262" max="11263" width="0" style="1751" hidden="1" customWidth="1"/>
    <col min="11264" max="11264" width="13.7265625" style="1751" customWidth="1"/>
    <col min="11265" max="11510" width="8.81640625" style="1751"/>
    <col min="11511" max="11511" width="40.1796875" style="1751" customWidth="1"/>
    <col min="11512" max="11512" width="37" style="1751" customWidth="1"/>
    <col min="11513" max="11513" width="17.453125" style="1751" customWidth="1"/>
    <col min="11514" max="11514" width="19.453125" style="1751" customWidth="1"/>
    <col min="11515" max="11515" width="0" style="1751" hidden="1" customWidth="1"/>
    <col min="11516" max="11516" width="21.7265625" style="1751" customWidth="1"/>
    <col min="11517" max="11517" width="71" style="1751" customWidth="1"/>
    <col min="11518" max="11519" width="0" style="1751" hidden="1" customWidth="1"/>
    <col min="11520" max="11520" width="13.7265625" style="1751" customWidth="1"/>
    <col min="11521" max="11766" width="8.81640625" style="1751"/>
    <col min="11767" max="11767" width="40.1796875" style="1751" customWidth="1"/>
    <col min="11768" max="11768" width="37" style="1751" customWidth="1"/>
    <col min="11769" max="11769" width="17.453125" style="1751" customWidth="1"/>
    <col min="11770" max="11770" width="19.453125" style="1751" customWidth="1"/>
    <col min="11771" max="11771" width="0" style="1751" hidden="1" customWidth="1"/>
    <col min="11772" max="11772" width="21.7265625" style="1751" customWidth="1"/>
    <col min="11773" max="11773" width="71" style="1751" customWidth="1"/>
    <col min="11774" max="11775" width="0" style="1751" hidden="1" customWidth="1"/>
    <col min="11776" max="11776" width="13.7265625" style="1751" customWidth="1"/>
    <col min="11777" max="12022" width="8.81640625" style="1751"/>
    <col min="12023" max="12023" width="40.1796875" style="1751" customWidth="1"/>
    <col min="12024" max="12024" width="37" style="1751" customWidth="1"/>
    <col min="12025" max="12025" width="17.453125" style="1751" customWidth="1"/>
    <col min="12026" max="12026" width="19.453125" style="1751" customWidth="1"/>
    <col min="12027" max="12027" width="0" style="1751" hidden="1" customWidth="1"/>
    <col min="12028" max="12028" width="21.7265625" style="1751" customWidth="1"/>
    <col min="12029" max="12029" width="71" style="1751" customWidth="1"/>
    <col min="12030" max="12031" width="0" style="1751" hidden="1" customWidth="1"/>
    <col min="12032" max="12032" width="13.7265625" style="1751" customWidth="1"/>
    <col min="12033" max="12278" width="8.81640625" style="1751"/>
    <col min="12279" max="12279" width="40.1796875" style="1751" customWidth="1"/>
    <col min="12280" max="12280" width="37" style="1751" customWidth="1"/>
    <col min="12281" max="12281" width="17.453125" style="1751" customWidth="1"/>
    <col min="12282" max="12282" width="19.453125" style="1751" customWidth="1"/>
    <col min="12283" max="12283" width="0" style="1751" hidden="1" customWidth="1"/>
    <col min="12284" max="12284" width="21.7265625" style="1751" customWidth="1"/>
    <col min="12285" max="12285" width="71" style="1751" customWidth="1"/>
    <col min="12286" max="12287" width="0" style="1751" hidden="1" customWidth="1"/>
    <col min="12288" max="12288" width="13.7265625" style="1751" customWidth="1"/>
    <col min="12289" max="12534" width="8.81640625" style="1751"/>
    <col min="12535" max="12535" width="40.1796875" style="1751" customWidth="1"/>
    <col min="12536" max="12536" width="37" style="1751" customWidth="1"/>
    <col min="12537" max="12537" width="17.453125" style="1751" customWidth="1"/>
    <col min="12538" max="12538" width="19.453125" style="1751" customWidth="1"/>
    <col min="12539" max="12539" width="0" style="1751" hidden="1" customWidth="1"/>
    <col min="12540" max="12540" width="21.7265625" style="1751" customWidth="1"/>
    <col min="12541" max="12541" width="71" style="1751" customWidth="1"/>
    <col min="12542" max="12543" width="0" style="1751" hidden="1" customWidth="1"/>
    <col min="12544" max="12544" width="13.7265625" style="1751" customWidth="1"/>
    <col min="12545" max="12790" width="8.81640625" style="1751"/>
    <col min="12791" max="12791" width="40.1796875" style="1751" customWidth="1"/>
    <col min="12792" max="12792" width="37" style="1751" customWidth="1"/>
    <col min="12793" max="12793" width="17.453125" style="1751" customWidth="1"/>
    <col min="12794" max="12794" width="19.453125" style="1751" customWidth="1"/>
    <col min="12795" max="12795" width="0" style="1751" hidden="1" customWidth="1"/>
    <col min="12796" max="12796" width="21.7265625" style="1751" customWidth="1"/>
    <col min="12797" max="12797" width="71" style="1751" customWidth="1"/>
    <col min="12798" max="12799" width="0" style="1751" hidden="1" customWidth="1"/>
    <col min="12800" max="12800" width="13.7265625" style="1751" customWidth="1"/>
    <col min="12801" max="13046" width="8.81640625" style="1751"/>
    <col min="13047" max="13047" width="40.1796875" style="1751" customWidth="1"/>
    <col min="13048" max="13048" width="37" style="1751" customWidth="1"/>
    <col min="13049" max="13049" width="17.453125" style="1751" customWidth="1"/>
    <col min="13050" max="13050" width="19.453125" style="1751" customWidth="1"/>
    <col min="13051" max="13051" width="0" style="1751" hidden="1" customWidth="1"/>
    <col min="13052" max="13052" width="21.7265625" style="1751" customWidth="1"/>
    <col min="13053" max="13053" width="71" style="1751" customWidth="1"/>
    <col min="13054" max="13055" width="0" style="1751" hidden="1" customWidth="1"/>
    <col min="13056" max="13056" width="13.7265625" style="1751" customWidth="1"/>
    <col min="13057" max="13302" width="8.81640625" style="1751"/>
    <col min="13303" max="13303" width="40.1796875" style="1751" customWidth="1"/>
    <col min="13304" max="13304" width="37" style="1751" customWidth="1"/>
    <col min="13305" max="13305" width="17.453125" style="1751" customWidth="1"/>
    <col min="13306" max="13306" width="19.453125" style="1751" customWidth="1"/>
    <col min="13307" max="13307" width="0" style="1751" hidden="1" customWidth="1"/>
    <col min="13308" max="13308" width="21.7265625" style="1751" customWidth="1"/>
    <col min="13309" max="13309" width="71" style="1751" customWidth="1"/>
    <col min="13310" max="13311" width="0" style="1751" hidden="1" customWidth="1"/>
    <col min="13312" max="13312" width="13.7265625" style="1751" customWidth="1"/>
    <col min="13313" max="13558" width="8.81640625" style="1751"/>
    <col min="13559" max="13559" width="40.1796875" style="1751" customWidth="1"/>
    <col min="13560" max="13560" width="37" style="1751" customWidth="1"/>
    <col min="13561" max="13561" width="17.453125" style="1751" customWidth="1"/>
    <col min="13562" max="13562" width="19.453125" style="1751" customWidth="1"/>
    <col min="13563" max="13563" width="0" style="1751" hidden="1" customWidth="1"/>
    <col min="13564" max="13564" width="21.7265625" style="1751" customWidth="1"/>
    <col min="13565" max="13565" width="71" style="1751" customWidth="1"/>
    <col min="13566" max="13567" width="0" style="1751" hidden="1" customWidth="1"/>
    <col min="13568" max="13568" width="13.7265625" style="1751" customWidth="1"/>
    <col min="13569" max="13814" width="8.81640625" style="1751"/>
    <col min="13815" max="13815" width="40.1796875" style="1751" customWidth="1"/>
    <col min="13816" max="13816" width="37" style="1751" customWidth="1"/>
    <col min="13817" max="13817" width="17.453125" style="1751" customWidth="1"/>
    <col min="13818" max="13818" width="19.453125" style="1751" customWidth="1"/>
    <col min="13819" max="13819" width="0" style="1751" hidden="1" customWidth="1"/>
    <col min="13820" max="13820" width="21.7265625" style="1751" customWidth="1"/>
    <col min="13821" max="13821" width="71" style="1751" customWidth="1"/>
    <col min="13822" max="13823" width="0" style="1751" hidden="1" customWidth="1"/>
    <col min="13824" max="13824" width="13.7265625" style="1751" customWidth="1"/>
    <col min="13825" max="14070" width="8.81640625" style="1751"/>
    <col min="14071" max="14071" width="40.1796875" style="1751" customWidth="1"/>
    <col min="14072" max="14072" width="37" style="1751" customWidth="1"/>
    <col min="14073" max="14073" width="17.453125" style="1751" customWidth="1"/>
    <col min="14074" max="14074" width="19.453125" style="1751" customWidth="1"/>
    <col min="14075" max="14075" width="0" style="1751" hidden="1" customWidth="1"/>
    <col min="14076" max="14076" width="21.7265625" style="1751" customWidth="1"/>
    <col min="14077" max="14077" width="71" style="1751" customWidth="1"/>
    <col min="14078" max="14079" width="0" style="1751" hidden="1" customWidth="1"/>
    <col min="14080" max="14080" width="13.7265625" style="1751" customWidth="1"/>
    <col min="14081" max="14326" width="8.81640625" style="1751"/>
    <col min="14327" max="14327" width="40.1796875" style="1751" customWidth="1"/>
    <col min="14328" max="14328" width="37" style="1751" customWidth="1"/>
    <col min="14329" max="14329" width="17.453125" style="1751" customWidth="1"/>
    <col min="14330" max="14330" width="19.453125" style="1751" customWidth="1"/>
    <col min="14331" max="14331" width="0" style="1751" hidden="1" customWidth="1"/>
    <col min="14332" max="14332" width="21.7265625" style="1751" customWidth="1"/>
    <col min="14333" max="14333" width="71" style="1751" customWidth="1"/>
    <col min="14334" max="14335" width="0" style="1751" hidden="1" customWidth="1"/>
    <col min="14336" max="14336" width="13.7265625" style="1751" customWidth="1"/>
    <col min="14337" max="14582" width="8.81640625" style="1751"/>
    <col min="14583" max="14583" width="40.1796875" style="1751" customWidth="1"/>
    <col min="14584" max="14584" width="37" style="1751" customWidth="1"/>
    <col min="14585" max="14585" width="17.453125" style="1751" customWidth="1"/>
    <col min="14586" max="14586" width="19.453125" style="1751" customWidth="1"/>
    <col min="14587" max="14587" width="0" style="1751" hidden="1" customWidth="1"/>
    <col min="14588" max="14588" width="21.7265625" style="1751" customWidth="1"/>
    <col min="14589" max="14589" width="71" style="1751" customWidth="1"/>
    <col min="14590" max="14591" width="0" style="1751" hidden="1" customWidth="1"/>
    <col min="14592" max="14592" width="13.7265625" style="1751" customWidth="1"/>
    <col min="14593" max="14838" width="8.81640625" style="1751"/>
    <col min="14839" max="14839" width="40.1796875" style="1751" customWidth="1"/>
    <col min="14840" max="14840" width="37" style="1751" customWidth="1"/>
    <col min="14841" max="14841" width="17.453125" style="1751" customWidth="1"/>
    <col min="14842" max="14842" width="19.453125" style="1751" customWidth="1"/>
    <col min="14843" max="14843" width="0" style="1751" hidden="1" customWidth="1"/>
    <col min="14844" max="14844" width="21.7265625" style="1751" customWidth="1"/>
    <col min="14845" max="14845" width="71" style="1751" customWidth="1"/>
    <col min="14846" max="14847" width="0" style="1751" hidden="1" customWidth="1"/>
    <col min="14848" max="14848" width="13.7265625" style="1751" customWidth="1"/>
    <col min="14849" max="15094" width="8.81640625" style="1751"/>
    <col min="15095" max="15095" width="40.1796875" style="1751" customWidth="1"/>
    <col min="15096" max="15096" width="37" style="1751" customWidth="1"/>
    <col min="15097" max="15097" width="17.453125" style="1751" customWidth="1"/>
    <col min="15098" max="15098" width="19.453125" style="1751" customWidth="1"/>
    <col min="15099" max="15099" width="0" style="1751" hidden="1" customWidth="1"/>
    <col min="15100" max="15100" width="21.7265625" style="1751" customWidth="1"/>
    <col min="15101" max="15101" width="71" style="1751" customWidth="1"/>
    <col min="15102" max="15103" width="0" style="1751" hidden="1" customWidth="1"/>
    <col min="15104" max="15104" width="13.7265625" style="1751" customWidth="1"/>
    <col min="15105" max="15350" width="8.81640625" style="1751"/>
    <col min="15351" max="15351" width="40.1796875" style="1751" customWidth="1"/>
    <col min="15352" max="15352" width="37" style="1751" customWidth="1"/>
    <col min="15353" max="15353" width="17.453125" style="1751" customWidth="1"/>
    <col min="15354" max="15354" width="19.453125" style="1751" customWidth="1"/>
    <col min="15355" max="15355" width="0" style="1751" hidden="1" customWidth="1"/>
    <col min="15356" max="15356" width="21.7265625" style="1751" customWidth="1"/>
    <col min="15357" max="15357" width="71" style="1751" customWidth="1"/>
    <col min="15358" max="15359" width="0" style="1751" hidden="1" customWidth="1"/>
    <col min="15360" max="15360" width="13.7265625" style="1751" customWidth="1"/>
    <col min="15361" max="15606" width="8.81640625" style="1751"/>
    <col min="15607" max="15607" width="40.1796875" style="1751" customWidth="1"/>
    <col min="15608" max="15608" width="37" style="1751" customWidth="1"/>
    <col min="15609" max="15609" width="17.453125" style="1751" customWidth="1"/>
    <col min="15610" max="15610" width="19.453125" style="1751" customWidth="1"/>
    <col min="15611" max="15611" width="0" style="1751" hidden="1" customWidth="1"/>
    <col min="15612" max="15612" width="21.7265625" style="1751" customWidth="1"/>
    <col min="15613" max="15613" width="71" style="1751" customWidth="1"/>
    <col min="15614" max="15615" width="0" style="1751" hidden="1" customWidth="1"/>
    <col min="15616" max="15616" width="13.7265625" style="1751" customWidth="1"/>
    <col min="15617" max="15862" width="8.81640625" style="1751"/>
    <col min="15863" max="15863" width="40.1796875" style="1751" customWidth="1"/>
    <col min="15864" max="15864" width="37" style="1751" customWidth="1"/>
    <col min="15865" max="15865" width="17.453125" style="1751" customWidth="1"/>
    <col min="15866" max="15866" width="19.453125" style="1751" customWidth="1"/>
    <col min="15867" max="15867" width="0" style="1751" hidden="1" customWidth="1"/>
    <col min="15868" max="15868" width="21.7265625" style="1751" customWidth="1"/>
    <col min="15869" max="15869" width="71" style="1751" customWidth="1"/>
    <col min="15870" max="15871" width="0" style="1751" hidden="1" customWidth="1"/>
    <col min="15872" max="15872" width="13.7265625" style="1751" customWidth="1"/>
    <col min="15873" max="16118" width="8.81640625" style="1751"/>
    <col min="16119" max="16119" width="40.1796875" style="1751" customWidth="1"/>
    <col min="16120" max="16120" width="37" style="1751" customWidth="1"/>
    <col min="16121" max="16121" width="17.453125" style="1751" customWidth="1"/>
    <col min="16122" max="16122" width="19.453125" style="1751" customWidth="1"/>
    <col min="16123" max="16123" width="0" style="1751" hidden="1" customWidth="1"/>
    <col min="16124" max="16124" width="21.7265625" style="1751" customWidth="1"/>
    <col min="16125" max="16125" width="71" style="1751" customWidth="1"/>
    <col min="16126" max="16127" width="0" style="1751" hidden="1" customWidth="1"/>
    <col min="16128" max="16128" width="13.7265625" style="1751" customWidth="1"/>
    <col min="16129" max="16384" width="8.81640625" style="1751"/>
  </cols>
  <sheetData>
    <row r="1" spans="1:25" x14ac:dyDescent="0.25">
      <c r="H1" s="2731" t="s">
        <v>946</v>
      </c>
      <c r="I1" s="2731"/>
      <c r="J1" s="2731"/>
    </row>
    <row r="2" spans="1:25" x14ac:dyDescent="0.25">
      <c r="H2" s="2731" t="s">
        <v>450</v>
      </c>
      <c r="I2" s="2731"/>
      <c r="J2" s="2731"/>
    </row>
    <row r="3" spans="1:25" x14ac:dyDescent="0.25">
      <c r="H3" s="2731" t="s">
        <v>449</v>
      </c>
      <c r="I3" s="2731"/>
      <c r="J3" s="2731"/>
    </row>
    <row r="4" spans="1:25" x14ac:dyDescent="0.25">
      <c r="H4" s="2731" t="s">
        <v>448</v>
      </c>
      <c r="I4" s="2731"/>
      <c r="J4" s="2731"/>
    </row>
    <row r="5" spans="1:25" x14ac:dyDescent="0.25">
      <c r="H5" s="2731" t="s">
        <v>1135</v>
      </c>
      <c r="I5" s="2731"/>
      <c r="J5" s="2731"/>
    </row>
    <row r="7" spans="1:25" x14ac:dyDescent="0.25">
      <c r="F7" s="1752"/>
      <c r="J7" s="1768" t="s">
        <v>813</v>
      </c>
    </row>
    <row r="8" spans="1:25" x14ac:dyDescent="0.25">
      <c r="F8" s="1752"/>
      <c r="J8" s="1768" t="s">
        <v>797</v>
      </c>
    </row>
    <row r="9" spans="1:25" ht="15.5" x14ac:dyDescent="0.35">
      <c r="F9" s="1752"/>
      <c r="I9" s="1752"/>
      <c r="J9" s="1690" t="s">
        <v>449</v>
      </c>
    </row>
    <row r="10" spans="1:25" ht="15.5" x14ac:dyDescent="0.35">
      <c r="F10" s="1752"/>
      <c r="J10" s="1690" t="s">
        <v>448</v>
      </c>
    </row>
    <row r="11" spans="1:25" ht="12.65" customHeight="1" x14ac:dyDescent="0.25">
      <c r="F11" s="1753"/>
      <c r="H11" s="2603" t="s">
        <v>1105</v>
      </c>
      <c r="I11" s="2603"/>
      <c r="J11" s="2603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5">
      <c r="F12" s="1754"/>
    </row>
    <row r="13" spans="1:25" ht="18" customHeight="1" x14ac:dyDescent="0.25">
      <c r="B13" s="1755"/>
      <c r="C13" s="1756"/>
      <c r="D13" s="1757"/>
      <c r="E13" s="1758"/>
      <c r="F13" s="1758"/>
      <c r="G13" s="1758"/>
    </row>
    <row r="14" spans="1:25" ht="24" customHeight="1" x14ac:dyDescent="0.25">
      <c r="B14" s="2729" t="s">
        <v>983</v>
      </c>
      <c r="C14" s="2729"/>
      <c r="D14" s="2729"/>
      <c r="E14" s="2729"/>
      <c r="F14" s="2729"/>
      <c r="G14" s="2729"/>
      <c r="H14" s="2729"/>
      <c r="I14" s="2729"/>
      <c r="J14" s="2729"/>
    </row>
    <row r="15" spans="1:25" ht="20.149999999999999" customHeight="1" x14ac:dyDescent="0.35">
      <c r="A15" s="2730" t="s">
        <v>869</v>
      </c>
      <c r="B15" s="2730"/>
      <c r="C15" s="2730"/>
      <c r="D15" s="2730"/>
      <c r="E15" s="2730"/>
      <c r="F15" s="2730"/>
      <c r="G15" s="2730"/>
      <c r="H15" s="2730"/>
      <c r="I15" s="2730"/>
      <c r="J15" s="2730"/>
      <c r="K15" s="1773"/>
    </row>
    <row r="16" spans="1:25" ht="15.75" customHeight="1" x14ac:dyDescent="0.35">
      <c r="A16" s="2352" t="s">
        <v>992</v>
      </c>
      <c r="B16" s="2352"/>
      <c r="C16" s="2352"/>
      <c r="D16" s="2352"/>
      <c r="E16" s="2352"/>
      <c r="F16" s="2352"/>
      <c r="G16" s="2352"/>
      <c r="H16" s="2352"/>
      <c r="I16" s="2352"/>
      <c r="J16" s="2352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3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5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5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5" customHeight="1" x14ac:dyDescent="0.35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35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35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35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35">
      <c r="B24" s="2244"/>
      <c r="C24" s="2245"/>
      <c r="D24" s="1764" t="s">
        <v>452</v>
      </c>
      <c r="E24" s="1764" t="s">
        <v>539</v>
      </c>
      <c r="F24" s="1764" t="s">
        <v>205</v>
      </c>
      <c r="G24" s="1798" t="s">
        <v>1</v>
      </c>
      <c r="H24" s="2246"/>
      <c r="I24" s="2246"/>
      <c r="J24" s="2247"/>
    </row>
    <row r="25" spans="2:10" ht="30" customHeight="1" thickBot="1" x14ac:dyDescent="0.3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5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547" customWidth="1"/>
    <col min="12" max="12" width="11.7265625" style="547" customWidth="1"/>
    <col min="13" max="16" width="17.453125" style="548" hidden="1" customWidth="1"/>
    <col min="17" max="17" width="18.26953125" style="549" hidden="1" customWidth="1"/>
    <col min="18" max="18" width="9.1796875" style="547" customWidth="1"/>
    <col min="19" max="19" width="13" style="547" customWidth="1"/>
    <col min="20" max="20" width="9.1796875" style="547" hidden="1" customWidth="1"/>
    <col min="21" max="256" width="9.1796875" style="547"/>
    <col min="257" max="258" width="9.1796875" style="547" customWidth="1"/>
    <col min="259" max="259" width="15.54296875" style="547" customWidth="1"/>
    <col min="260" max="261" width="9.1796875" style="547" customWidth="1"/>
    <col min="262" max="262" width="19" style="547" customWidth="1"/>
    <col min="263" max="263" width="15.453125" style="547" customWidth="1"/>
    <col min="264" max="264" width="18.26953125" style="547" customWidth="1"/>
    <col min="265" max="265" width="9.1796875" style="547" customWidth="1"/>
    <col min="266" max="266" width="26.453125" style="547" customWidth="1"/>
    <col min="267" max="267" width="9.1796875" style="547" customWidth="1"/>
    <col min="268" max="268" width="11.7265625" style="547" customWidth="1"/>
    <col min="269" max="273" width="0" style="547" hidden="1" customWidth="1"/>
    <col min="274" max="274" width="9.1796875" style="547" customWidth="1"/>
    <col min="275" max="275" width="13" style="547" customWidth="1"/>
    <col min="276" max="276" width="0" style="547" hidden="1" customWidth="1"/>
    <col min="277" max="512" width="9.1796875" style="547"/>
    <col min="513" max="514" width="9.1796875" style="547" customWidth="1"/>
    <col min="515" max="515" width="15.54296875" style="547" customWidth="1"/>
    <col min="516" max="517" width="9.1796875" style="547" customWidth="1"/>
    <col min="518" max="518" width="19" style="547" customWidth="1"/>
    <col min="519" max="519" width="15.453125" style="547" customWidth="1"/>
    <col min="520" max="520" width="18.26953125" style="547" customWidth="1"/>
    <col min="521" max="521" width="9.1796875" style="547" customWidth="1"/>
    <col min="522" max="522" width="26.453125" style="547" customWidth="1"/>
    <col min="523" max="523" width="9.1796875" style="547" customWidth="1"/>
    <col min="524" max="524" width="11.7265625" style="547" customWidth="1"/>
    <col min="525" max="529" width="0" style="547" hidden="1" customWidth="1"/>
    <col min="530" max="530" width="9.1796875" style="547" customWidth="1"/>
    <col min="531" max="531" width="13" style="547" customWidth="1"/>
    <col min="532" max="532" width="0" style="547" hidden="1" customWidth="1"/>
    <col min="533" max="768" width="9.1796875" style="547"/>
    <col min="769" max="770" width="9.1796875" style="547" customWidth="1"/>
    <col min="771" max="771" width="15.54296875" style="547" customWidth="1"/>
    <col min="772" max="773" width="9.1796875" style="547" customWidth="1"/>
    <col min="774" max="774" width="19" style="547" customWidth="1"/>
    <col min="775" max="775" width="15.453125" style="547" customWidth="1"/>
    <col min="776" max="776" width="18.26953125" style="547" customWidth="1"/>
    <col min="777" max="777" width="9.1796875" style="547" customWidth="1"/>
    <col min="778" max="778" width="26.453125" style="547" customWidth="1"/>
    <col min="779" max="779" width="9.1796875" style="547" customWidth="1"/>
    <col min="780" max="780" width="11.7265625" style="547" customWidth="1"/>
    <col min="781" max="785" width="0" style="547" hidden="1" customWidth="1"/>
    <col min="786" max="786" width="9.1796875" style="547" customWidth="1"/>
    <col min="787" max="787" width="13" style="547" customWidth="1"/>
    <col min="788" max="788" width="0" style="547" hidden="1" customWidth="1"/>
    <col min="789" max="1024" width="9.1796875" style="547"/>
    <col min="1025" max="1026" width="9.1796875" style="547" customWidth="1"/>
    <col min="1027" max="1027" width="15.54296875" style="547" customWidth="1"/>
    <col min="1028" max="1029" width="9.1796875" style="547" customWidth="1"/>
    <col min="1030" max="1030" width="19" style="547" customWidth="1"/>
    <col min="1031" max="1031" width="15.453125" style="547" customWidth="1"/>
    <col min="1032" max="1032" width="18.26953125" style="547" customWidth="1"/>
    <col min="1033" max="1033" width="9.1796875" style="547" customWidth="1"/>
    <col min="1034" max="1034" width="26.453125" style="547" customWidth="1"/>
    <col min="1035" max="1035" width="9.1796875" style="547" customWidth="1"/>
    <col min="1036" max="1036" width="11.7265625" style="547" customWidth="1"/>
    <col min="1037" max="1041" width="0" style="547" hidden="1" customWidth="1"/>
    <col min="1042" max="1042" width="9.1796875" style="547" customWidth="1"/>
    <col min="1043" max="1043" width="13" style="547" customWidth="1"/>
    <col min="1044" max="1044" width="0" style="547" hidden="1" customWidth="1"/>
    <col min="1045" max="1280" width="9.1796875" style="547"/>
    <col min="1281" max="1282" width="9.1796875" style="547" customWidth="1"/>
    <col min="1283" max="1283" width="15.54296875" style="547" customWidth="1"/>
    <col min="1284" max="1285" width="9.1796875" style="547" customWidth="1"/>
    <col min="1286" max="1286" width="19" style="547" customWidth="1"/>
    <col min="1287" max="1287" width="15.453125" style="547" customWidth="1"/>
    <col min="1288" max="1288" width="18.26953125" style="547" customWidth="1"/>
    <col min="1289" max="1289" width="9.1796875" style="547" customWidth="1"/>
    <col min="1290" max="1290" width="26.453125" style="547" customWidth="1"/>
    <col min="1291" max="1291" width="9.1796875" style="547" customWidth="1"/>
    <col min="1292" max="1292" width="11.7265625" style="547" customWidth="1"/>
    <col min="1293" max="1297" width="0" style="547" hidden="1" customWidth="1"/>
    <col min="1298" max="1298" width="9.1796875" style="547" customWidth="1"/>
    <col min="1299" max="1299" width="13" style="547" customWidth="1"/>
    <col min="1300" max="1300" width="0" style="547" hidden="1" customWidth="1"/>
    <col min="1301" max="1536" width="9.1796875" style="547"/>
    <col min="1537" max="1538" width="9.1796875" style="547" customWidth="1"/>
    <col min="1539" max="1539" width="15.54296875" style="547" customWidth="1"/>
    <col min="1540" max="1541" width="9.1796875" style="547" customWidth="1"/>
    <col min="1542" max="1542" width="19" style="547" customWidth="1"/>
    <col min="1543" max="1543" width="15.453125" style="547" customWidth="1"/>
    <col min="1544" max="1544" width="18.26953125" style="547" customWidth="1"/>
    <col min="1545" max="1545" width="9.1796875" style="547" customWidth="1"/>
    <col min="1546" max="1546" width="26.453125" style="547" customWidth="1"/>
    <col min="1547" max="1547" width="9.1796875" style="547" customWidth="1"/>
    <col min="1548" max="1548" width="11.7265625" style="547" customWidth="1"/>
    <col min="1549" max="1553" width="0" style="547" hidden="1" customWidth="1"/>
    <col min="1554" max="1554" width="9.1796875" style="547" customWidth="1"/>
    <col min="1555" max="1555" width="13" style="547" customWidth="1"/>
    <col min="1556" max="1556" width="0" style="547" hidden="1" customWidth="1"/>
    <col min="1557" max="1792" width="9.1796875" style="547"/>
    <col min="1793" max="1794" width="9.1796875" style="547" customWidth="1"/>
    <col min="1795" max="1795" width="15.54296875" style="547" customWidth="1"/>
    <col min="1796" max="1797" width="9.1796875" style="547" customWidth="1"/>
    <col min="1798" max="1798" width="19" style="547" customWidth="1"/>
    <col min="1799" max="1799" width="15.453125" style="547" customWidth="1"/>
    <col min="1800" max="1800" width="18.26953125" style="547" customWidth="1"/>
    <col min="1801" max="1801" width="9.1796875" style="547" customWidth="1"/>
    <col min="1802" max="1802" width="26.453125" style="547" customWidth="1"/>
    <col min="1803" max="1803" width="9.1796875" style="547" customWidth="1"/>
    <col min="1804" max="1804" width="11.7265625" style="547" customWidth="1"/>
    <col min="1805" max="1809" width="0" style="547" hidden="1" customWidth="1"/>
    <col min="1810" max="1810" width="9.1796875" style="547" customWidth="1"/>
    <col min="1811" max="1811" width="13" style="547" customWidth="1"/>
    <col min="1812" max="1812" width="0" style="547" hidden="1" customWidth="1"/>
    <col min="1813" max="2048" width="9.1796875" style="547"/>
    <col min="2049" max="2050" width="9.1796875" style="547" customWidth="1"/>
    <col min="2051" max="2051" width="15.54296875" style="547" customWidth="1"/>
    <col min="2052" max="2053" width="9.1796875" style="547" customWidth="1"/>
    <col min="2054" max="2054" width="19" style="547" customWidth="1"/>
    <col min="2055" max="2055" width="15.453125" style="547" customWidth="1"/>
    <col min="2056" max="2056" width="18.26953125" style="547" customWidth="1"/>
    <col min="2057" max="2057" width="9.1796875" style="547" customWidth="1"/>
    <col min="2058" max="2058" width="26.453125" style="547" customWidth="1"/>
    <col min="2059" max="2059" width="9.1796875" style="547" customWidth="1"/>
    <col min="2060" max="2060" width="11.7265625" style="547" customWidth="1"/>
    <col min="2061" max="2065" width="0" style="547" hidden="1" customWidth="1"/>
    <col min="2066" max="2066" width="9.1796875" style="547" customWidth="1"/>
    <col min="2067" max="2067" width="13" style="547" customWidth="1"/>
    <col min="2068" max="2068" width="0" style="547" hidden="1" customWidth="1"/>
    <col min="2069" max="2304" width="9.1796875" style="547"/>
    <col min="2305" max="2306" width="9.1796875" style="547" customWidth="1"/>
    <col min="2307" max="2307" width="15.54296875" style="547" customWidth="1"/>
    <col min="2308" max="2309" width="9.1796875" style="547" customWidth="1"/>
    <col min="2310" max="2310" width="19" style="547" customWidth="1"/>
    <col min="2311" max="2311" width="15.453125" style="547" customWidth="1"/>
    <col min="2312" max="2312" width="18.26953125" style="547" customWidth="1"/>
    <col min="2313" max="2313" width="9.1796875" style="547" customWidth="1"/>
    <col min="2314" max="2314" width="26.453125" style="547" customWidth="1"/>
    <col min="2315" max="2315" width="9.1796875" style="547" customWidth="1"/>
    <col min="2316" max="2316" width="11.7265625" style="547" customWidth="1"/>
    <col min="2317" max="2321" width="0" style="547" hidden="1" customWidth="1"/>
    <col min="2322" max="2322" width="9.1796875" style="547" customWidth="1"/>
    <col min="2323" max="2323" width="13" style="547" customWidth="1"/>
    <col min="2324" max="2324" width="0" style="547" hidden="1" customWidth="1"/>
    <col min="2325" max="2560" width="9.1796875" style="547"/>
    <col min="2561" max="2562" width="9.1796875" style="547" customWidth="1"/>
    <col min="2563" max="2563" width="15.54296875" style="547" customWidth="1"/>
    <col min="2564" max="2565" width="9.1796875" style="547" customWidth="1"/>
    <col min="2566" max="2566" width="19" style="547" customWidth="1"/>
    <col min="2567" max="2567" width="15.453125" style="547" customWidth="1"/>
    <col min="2568" max="2568" width="18.26953125" style="547" customWidth="1"/>
    <col min="2569" max="2569" width="9.1796875" style="547" customWidth="1"/>
    <col min="2570" max="2570" width="26.453125" style="547" customWidth="1"/>
    <col min="2571" max="2571" width="9.1796875" style="547" customWidth="1"/>
    <col min="2572" max="2572" width="11.7265625" style="547" customWidth="1"/>
    <col min="2573" max="2577" width="0" style="547" hidden="1" customWidth="1"/>
    <col min="2578" max="2578" width="9.1796875" style="547" customWidth="1"/>
    <col min="2579" max="2579" width="13" style="547" customWidth="1"/>
    <col min="2580" max="2580" width="0" style="547" hidden="1" customWidth="1"/>
    <col min="2581" max="2816" width="9.1796875" style="547"/>
    <col min="2817" max="2818" width="9.1796875" style="547" customWidth="1"/>
    <col min="2819" max="2819" width="15.54296875" style="547" customWidth="1"/>
    <col min="2820" max="2821" width="9.1796875" style="547" customWidth="1"/>
    <col min="2822" max="2822" width="19" style="547" customWidth="1"/>
    <col min="2823" max="2823" width="15.453125" style="547" customWidth="1"/>
    <col min="2824" max="2824" width="18.26953125" style="547" customWidth="1"/>
    <col min="2825" max="2825" width="9.1796875" style="547" customWidth="1"/>
    <col min="2826" max="2826" width="26.453125" style="547" customWidth="1"/>
    <col min="2827" max="2827" width="9.1796875" style="547" customWidth="1"/>
    <col min="2828" max="2828" width="11.7265625" style="547" customWidth="1"/>
    <col min="2829" max="2833" width="0" style="547" hidden="1" customWidth="1"/>
    <col min="2834" max="2834" width="9.1796875" style="547" customWidth="1"/>
    <col min="2835" max="2835" width="13" style="547" customWidth="1"/>
    <col min="2836" max="2836" width="0" style="547" hidden="1" customWidth="1"/>
    <col min="2837" max="3072" width="9.1796875" style="547"/>
    <col min="3073" max="3074" width="9.1796875" style="547" customWidth="1"/>
    <col min="3075" max="3075" width="15.54296875" style="547" customWidth="1"/>
    <col min="3076" max="3077" width="9.1796875" style="547" customWidth="1"/>
    <col min="3078" max="3078" width="19" style="547" customWidth="1"/>
    <col min="3079" max="3079" width="15.453125" style="547" customWidth="1"/>
    <col min="3080" max="3080" width="18.26953125" style="547" customWidth="1"/>
    <col min="3081" max="3081" width="9.1796875" style="547" customWidth="1"/>
    <col min="3082" max="3082" width="26.453125" style="547" customWidth="1"/>
    <col min="3083" max="3083" width="9.1796875" style="547" customWidth="1"/>
    <col min="3084" max="3084" width="11.7265625" style="547" customWidth="1"/>
    <col min="3085" max="3089" width="0" style="547" hidden="1" customWidth="1"/>
    <col min="3090" max="3090" width="9.1796875" style="547" customWidth="1"/>
    <col min="3091" max="3091" width="13" style="547" customWidth="1"/>
    <col min="3092" max="3092" width="0" style="547" hidden="1" customWidth="1"/>
    <col min="3093" max="3328" width="9.1796875" style="547"/>
    <col min="3329" max="3330" width="9.1796875" style="547" customWidth="1"/>
    <col min="3331" max="3331" width="15.54296875" style="547" customWidth="1"/>
    <col min="3332" max="3333" width="9.1796875" style="547" customWidth="1"/>
    <col min="3334" max="3334" width="19" style="547" customWidth="1"/>
    <col min="3335" max="3335" width="15.453125" style="547" customWidth="1"/>
    <col min="3336" max="3336" width="18.26953125" style="547" customWidth="1"/>
    <col min="3337" max="3337" width="9.1796875" style="547" customWidth="1"/>
    <col min="3338" max="3338" width="26.453125" style="547" customWidth="1"/>
    <col min="3339" max="3339" width="9.1796875" style="547" customWidth="1"/>
    <col min="3340" max="3340" width="11.7265625" style="547" customWidth="1"/>
    <col min="3341" max="3345" width="0" style="547" hidden="1" customWidth="1"/>
    <col min="3346" max="3346" width="9.1796875" style="547" customWidth="1"/>
    <col min="3347" max="3347" width="13" style="547" customWidth="1"/>
    <col min="3348" max="3348" width="0" style="547" hidden="1" customWidth="1"/>
    <col min="3349" max="3584" width="9.1796875" style="547"/>
    <col min="3585" max="3586" width="9.1796875" style="547" customWidth="1"/>
    <col min="3587" max="3587" width="15.54296875" style="547" customWidth="1"/>
    <col min="3588" max="3589" width="9.1796875" style="547" customWidth="1"/>
    <col min="3590" max="3590" width="19" style="547" customWidth="1"/>
    <col min="3591" max="3591" width="15.453125" style="547" customWidth="1"/>
    <col min="3592" max="3592" width="18.26953125" style="547" customWidth="1"/>
    <col min="3593" max="3593" width="9.1796875" style="547" customWidth="1"/>
    <col min="3594" max="3594" width="26.453125" style="547" customWidth="1"/>
    <col min="3595" max="3595" width="9.1796875" style="547" customWidth="1"/>
    <col min="3596" max="3596" width="11.7265625" style="547" customWidth="1"/>
    <col min="3597" max="3601" width="0" style="547" hidden="1" customWidth="1"/>
    <col min="3602" max="3602" width="9.1796875" style="547" customWidth="1"/>
    <col min="3603" max="3603" width="13" style="547" customWidth="1"/>
    <col min="3604" max="3604" width="0" style="547" hidden="1" customWidth="1"/>
    <col min="3605" max="3840" width="9.1796875" style="547"/>
    <col min="3841" max="3842" width="9.1796875" style="547" customWidth="1"/>
    <col min="3843" max="3843" width="15.54296875" style="547" customWidth="1"/>
    <col min="3844" max="3845" width="9.1796875" style="547" customWidth="1"/>
    <col min="3846" max="3846" width="19" style="547" customWidth="1"/>
    <col min="3847" max="3847" width="15.453125" style="547" customWidth="1"/>
    <col min="3848" max="3848" width="18.26953125" style="547" customWidth="1"/>
    <col min="3849" max="3849" width="9.1796875" style="547" customWidth="1"/>
    <col min="3850" max="3850" width="26.453125" style="547" customWidth="1"/>
    <col min="3851" max="3851" width="9.1796875" style="547" customWidth="1"/>
    <col min="3852" max="3852" width="11.7265625" style="547" customWidth="1"/>
    <col min="3853" max="3857" width="0" style="547" hidden="1" customWidth="1"/>
    <col min="3858" max="3858" width="9.1796875" style="547" customWidth="1"/>
    <col min="3859" max="3859" width="13" style="547" customWidth="1"/>
    <col min="3860" max="3860" width="0" style="547" hidden="1" customWidth="1"/>
    <col min="3861" max="4096" width="9.1796875" style="547"/>
    <col min="4097" max="4098" width="9.1796875" style="547" customWidth="1"/>
    <col min="4099" max="4099" width="15.54296875" style="547" customWidth="1"/>
    <col min="4100" max="4101" width="9.1796875" style="547" customWidth="1"/>
    <col min="4102" max="4102" width="19" style="547" customWidth="1"/>
    <col min="4103" max="4103" width="15.453125" style="547" customWidth="1"/>
    <col min="4104" max="4104" width="18.26953125" style="547" customWidth="1"/>
    <col min="4105" max="4105" width="9.1796875" style="547" customWidth="1"/>
    <col min="4106" max="4106" width="26.453125" style="547" customWidth="1"/>
    <col min="4107" max="4107" width="9.1796875" style="547" customWidth="1"/>
    <col min="4108" max="4108" width="11.7265625" style="547" customWidth="1"/>
    <col min="4109" max="4113" width="0" style="547" hidden="1" customWidth="1"/>
    <col min="4114" max="4114" width="9.1796875" style="547" customWidth="1"/>
    <col min="4115" max="4115" width="13" style="547" customWidth="1"/>
    <col min="4116" max="4116" width="0" style="547" hidden="1" customWidth="1"/>
    <col min="4117" max="4352" width="9.1796875" style="547"/>
    <col min="4353" max="4354" width="9.1796875" style="547" customWidth="1"/>
    <col min="4355" max="4355" width="15.54296875" style="547" customWidth="1"/>
    <col min="4356" max="4357" width="9.1796875" style="547" customWidth="1"/>
    <col min="4358" max="4358" width="19" style="547" customWidth="1"/>
    <col min="4359" max="4359" width="15.453125" style="547" customWidth="1"/>
    <col min="4360" max="4360" width="18.26953125" style="547" customWidth="1"/>
    <col min="4361" max="4361" width="9.1796875" style="547" customWidth="1"/>
    <col min="4362" max="4362" width="26.453125" style="547" customWidth="1"/>
    <col min="4363" max="4363" width="9.1796875" style="547" customWidth="1"/>
    <col min="4364" max="4364" width="11.7265625" style="547" customWidth="1"/>
    <col min="4365" max="4369" width="0" style="547" hidden="1" customWidth="1"/>
    <col min="4370" max="4370" width="9.1796875" style="547" customWidth="1"/>
    <col min="4371" max="4371" width="13" style="547" customWidth="1"/>
    <col min="4372" max="4372" width="0" style="547" hidden="1" customWidth="1"/>
    <col min="4373" max="4608" width="9.1796875" style="547"/>
    <col min="4609" max="4610" width="9.1796875" style="547" customWidth="1"/>
    <col min="4611" max="4611" width="15.54296875" style="547" customWidth="1"/>
    <col min="4612" max="4613" width="9.1796875" style="547" customWidth="1"/>
    <col min="4614" max="4614" width="19" style="547" customWidth="1"/>
    <col min="4615" max="4615" width="15.453125" style="547" customWidth="1"/>
    <col min="4616" max="4616" width="18.26953125" style="547" customWidth="1"/>
    <col min="4617" max="4617" width="9.1796875" style="547" customWidth="1"/>
    <col min="4618" max="4618" width="26.453125" style="547" customWidth="1"/>
    <col min="4619" max="4619" width="9.1796875" style="547" customWidth="1"/>
    <col min="4620" max="4620" width="11.7265625" style="547" customWidth="1"/>
    <col min="4621" max="4625" width="0" style="547" hidden="1" customWidth="1"/>
    <col min="4626" max="4626" width="9.1796875" style="547" customWidth="1"/>
    <col min="4627" max="4627" width="13" style="547" customWidth="1"/>
    <col min="4628" max="4628" width="0" style="547" hidden="1" customWidth="1"/>
    <col min="4629" max="4864" width="9.1796875" style="547"/>
    <col min="4865" max="4866" width="9.1796875" style="547" customWidth="1"/>
    <col min="4867" max="4867" width="15.54296875" style="547" customWidth="1"/>
    <col min="4868" max="4869" width="9.1796875" style="547" customWidth="1"/>
    <col min="4870" max="4870" width="19" style="547" customWidth="1"/>
    <col min="4871" max="4871" width="15.453125" style="547" customWidth="1"/>
    <col min="4872" max="4872" width="18.26953125" style="547" customWidth="1"/>
    <col min="4873" max="4873" width="9.1796875" style="547" customWidth="1"/>
    <col min="4874" max="4874" width="26.453125" style="547" customWidth="1"/>
    <col min="4875" max="4875" width="9.1796875" style="547" customWidth="1"/>
    <col min="4876" max="4876" width="11.7265625" style="547" customWidth="1"/>
    <col min="4877" max="4881" width="0" style="547" hidden="1" customWidth="1"/>
    <col min="4882" max="4882" width="9.1796875" style="547" customWidth="1"/>
    <col min="4883" max="4883" width="13" style="547" customWidth="1"/>
    <col min="4884" max="4884" width="0" style="547" hidden="1" customWidth="1"/>
    <col min="4885" max="5120" width="9.1796875" style="547"/>
    <col min="5121" max="5122" width="9.1796875" style="547" customWidth="1"/>
    <col min="5123" max="5123" width="15.54296875" style="547" customWidth="1"/>
    <col min="5124" max="5125" width="9.1796875" style="547" customWidth="1"/>
    <col min="5126" max="5126" width="19" style="547" customWidth="1"/>
    <col min="5127" max="5127" width="15.453125" style="547" customWidth="1"/>
    <col min="5128" max="5128" width="18.26953125" style="547" customWidth="1"/>
    <col min="5129" max="5129" width="9.1796875" style="547" customWidth="1"/>
    <col min="5130" max="5130" width="26.453125" style="547" customWidth="1"/>
    <col min="5131" max="5131" width="9.1796875" style="547" customWidth="1"/>
    <col min="5132" max="5132" width="11.7265625" style="547" customWidth="1"/>
    <col min="5133" max="5137" width="0" style="547" hidden="1" customWidth="1"/>
    <col min="5138" max="5138" width="9.1796875" style="547" customWidth="1"/>
    <col min="5139" max="5139" width="13" style="547" customWidth="1"/>
    <col min="5140" max="5140" width="0" style="547" hidden="1" customWidth="1"/>
    <col min="5141" max="5376" width="9.1796875" style="547"/>
    <col min="5377" max="5378" width="9.1796875" style="547" customWidth="1"/>
    <col min="5379" max="5379" width="15.54296875" style="547" customWidth="1"/>
    <col min="5380" max="5381" width="9.1796875" style="547" customWidth="1"/>
    <col min="5382" max="5382" width="19" style="547" customWidth="1"/>
    <col min="5383" max="5383" width="15.453125" style="547" customWidth="1"/>
    <col min="5384" max="5384" width="18.26953125" style="547" customWidth="1"/>
    <col min="5385" max="5385" width="9.1796875" style="547" customWidth="1"/>
    <col min="5386" max="5386" width="26.453125" style="547" customWidth="1"/>
    <col min="5387" max="5387" width="9.1796875" style="547" customWidth="1"/>
    <col min="5388" max="5388" width="11.7265625" style="547" customWidth="1"/>
    <col min="5389" max="5393" width="0" style="547" hidden="1" customWidth="1"/>
    <col min="5394" max="5394" width="9.1796875" style="547" customWidth="1"/>
    <col min="5395" max="5395" width="13" style="547" customWidth="1"/>
    <col min="5396" max="5396" width="0" style="547" hidden="1" customWidth="1"/>
    <col min="5397" max="5632" width="9.1796875" style="547"/>
    <col min="5633" max="5634" width="9.1796875" style="547" customWidth="1"/>
    <col min="5635" max="5635" width="15.54296875" style="547" customWidth="1"/>
    <col min="5636" max="5637" width="9.1796875" style="547" customWidth="1"/>
    <col min="5638" max="5638" width="19" style="547" customWidth="1"/>
    <col min="5639" max="5639" width="15.453125" style="547" customWidth="1"/>
    <col min="5640" max="5640" width="18.26953125" style="547" customWidth="1"/>
    <col min="5641" max="5641" width="9.1796875" style="547" customWidth="1"/>
    <col min="5642" max="5642" width="26.453125" style="547" customWidth="1"/>
    <col min="5643" max="5643" width="9.1796875" style="547" customWidth="1"/>
    <col min="5644" max="5644" width="11.7265625" style="547" customWidth="1"/>
    <col min="5645" max="5649" width="0" style="547" hidden="1" customWidth="1"/>
    <col min="5650" max="5650" width="9.1796875" style="547" customWidth="1"/>
    <col min="5651" max="5651" width="13" style="547" customWidth="1"/>
    <col min="5652" max="5652" width="0" style="547" hidden="1" customWidth="1"/>
    <col min="5653" max="5888" width="9.1796875" style="547"/>
    <col min="5889" max="5890" width="9.1796875" style="547" customWidth="1"/>
    <col min="5891" max="5891" width="15.54296875" style="547" customWidth="1"/>
    <col min="5892" max="5893" width="9.1796875" style="547" customWidth="1"/>
    <col min="5894" max="5894" width="19" style="547" customWidth="1"/>
    <col min="5895" max="5895" width="15.453125" style="547" customWidth="1"/>
    <col min="5896" max="5896" width="18.26953125" style="547" customWidth="1"/>
    <col min="5897" max="5897" width="9.1796875" style="547" customWidth="1"/>
    <col min="5898" max="5898" width="26.453125" style="547" customWidth="1"/>
    <col min="5899" max="5899" width="9.1796875" style="547" customWidth="1"/>
    <col min="5900" max="5900" width="11.7265625" style="547" customWidth="1"/>
    <col min="5901" max="5905" width="0" style="547" hidden="1" customWidth="1"/>
    <col min="5906" max="5906" width="9.1796875" style="547" customWidth="1"/>
    <col min="5907" max="5907" width="13" style="547" customWidth="1"/>
    <col min="5908" max="5908" width="0" style="547" hidden="1" customWidth="1"/>
    <col min="5909" max="6144" width="9.1796875" style="547"/>
    <col min="6145" max="6146" width="9.1796875" style="547" customWidth="1"/>
    <col min="6147" max="6147" width="15.54296875" style="547" customWidth="1"/>
    <col min="6148" max="6149" width="9.1796875" style="547" customWidth="1"/>
    <col min="6150" max="6150" width="19" style="547" customWidth="1"/>
    <col min="6151" max="6151" width="15.453125" style="547" customWidth="1"/>
    <col min="6152" max="6152" width="18.26953125" style="547" customWidth="1"/>
    <col min="6153" max="6153" width="9.1796875" style="547" customWidth="1"/>
    <col min="6154" max="6154" width="26.453125" style="547" customWidth="1"/>
    <col min="6155" max="6155" width="9.1796875" style="547" customWidth="1"/>
    <col min="6156" max="6156" width="11.7265625" style="547" customWidth="1"/>
    <col min="6157" max="6161" width="0" style="547" hidden="1" customWidth="1"/>
    <col min="6162" max="6162" width="9.1796875" style="547" customWidth="1"/>
    <col min="6163" max="6163" width="13" style="547" customWidth="1"/>
    <col min="6164" max="6164" width="0" style="547" hidden="1" customWidth="1"/>
    <col min="6165" max="6400" width="9.1796875" style="547"/>
    <col min="6401" max="6402" width="9.1796875" style="547" customWidth="1"/>
    <col min="6403" max="6403" width="15.54296875" style="547" customWidth="1"/>
    <col min="6404" max="6405" width="9.1796875" style="547" customWidth="1"/>
    <col min="6406" max="6406" width="19" style="547" customWidth="1"/>
    <col min="6407" max="6407" width="15.453125" style="547" customWidth="1"/>
    <col min="6408" max="6408" width="18.26953125" style="547" customWidth="1"/>
    <col min="6409" max="6409" width="9.1796875" style="547" customWidth="1"/>
    <col min="6410" max="6410" width="26.453125" style="547" customWidth="1"/>
    <col min="6411" max="6411" width="9.1796875" style="547" customWidth="1"/>
    <col min="6412" max="6412" width="11.7265625" style="547" customWidth="1"/>
    <col min="6413" max="6417" width="0" style="547" hidden="1" customWidth="1"/>
    <col min="6418" max="6418" width="9.1796875" style="547" customWidth="1"/>
    <col min="6419" max="6419" width="13" style="547" customWidth="1"/>
    <col min="6420" max="6420" width="0" style="547" hidden="1" customWidth="1"/>
    <col min="6421" max="6656" width="9.1796875" style="547"/>
    <col min="6657" max="6658" width="9.1796875" style="547" customWidth="1"/>
    <col min="6659" max="6659" width="15.54296875" style="547" customWidth="1"/>
    <col min="6660" max="6661" width="9.1796875" style="547" customWidth="1"/>
    <col min="6662" max="6662" width="19" style="547" customWidth="1"/>
    <col min="6663" max="6663" width="15.453125" style="547" customWidth="1"/>
    <col min="6664" max="6664" width="18.26953125" style="547" customWidth="1"/>
    <col min="6665" max="6665" width="9.1796875" style="547" customWidth="1"/>
    <col min="6666" max="6666" width="26.453125" style="547" customWidth="1"/>
    <col min="6667" max="6667" width="9.1796875" style="547" customWidth="1"/>
    <col min="6668" max="6668" width="11.7265625" style="547" customWidth="1"/>
    <col min="6669" max="6673" width="0" style="547" hidden="1" customWidth="1"/>
    <col min="6674" max="6674" width="9.1796875" style="547" customWidth="1"/>
    <col min="6675" max="6675" width="13" style="547" customWidth="1"/>
    <col min="6676" max="6676" width="0" style="547" hidden="1" customWidth="1"/>
    <col min="6677" max="6912" width="9.1796875" style="547"/>
    <col min="6913" max="6914" width="9.1796875" style="547" customWidth="1"/>
    <col min="6915" max="6915" width="15.54296875" style="547" customWidth="1"/>
    <col min="6916" max="6917" width="9.1796875" style="547" customWidth="1"/>
    <col min="6918" max="6918" width="19" style="547" customWidth="1"/>
    <col min="6919" max="6919" width="15.453125" style="547" customWidth="1"/>
    <col min="6920" max="6920" width="18.26953125" style="547" customWidth="1"/>
    <col min="6921" max="6921" width="9.1796875" style="547" customWidth="1"/>
    <col min="6922" max="6922" width="26.453125" style="547" customWidth="1"/>
    <col min="6923" max="6923" width="9.1796875" style="547" customWidth="1"/>
    <col min="6924" max="6924" width="11.7265625" style="547" customWidth="1"/>
    <col min="6925" max="6929" width="0" style="547" hidden="1" customWidth="1"/>
    <col min="6930" max="6930" width="9.1796875" style="547" customWidth="1"/>
    <col min="6931" max="6931" width="13" style="547" customWidth="1"/>
    <col min="6932" max="6932" width="0" style="547" hidden="1" customWidth="1"/>
    <col min="6933" max="7168" width="9.1796875" style="547"/>
    <col min="7169" max="7170" width="9.1796875" style="547" customWidth="1"/>
    <col min="7171" max="7171" width="15.54296875" style="547" customWidth="1"/>
    <col min="7172" max="7173" width="9.1796875" style="547" customWidth="1"/>
    <col min="7174" max="7174" width="19" style="547" customWidth="1"/>
    <col min="7175" max="7175" width="15.453125" style="547" customWidth="1"/>
    <col min="7176" max="7176" width="18.26953125" style="547" customWidth="1"/>
    <col min="7177" max="7177" width="9.1796875" style="547" customWidth="1"/>
    <col min="7178" max="7178" width="26.453125" style="547" customWidth="1"/>
    <col min="7179" max="7179" width="9.1796875" style="547" customWidth="1"/>
    <col min="7180" max="7180" width="11.7265625" style="547" customWidth="1"/>
    <col min="7181" max="7185" width="0" style="547" hidden="1" customWidth="1"/>
    <col min="7186" max="7186" width="9.1796875" style="547" customWidth="1"/>
    <col min="7187" max="7187" width="13" style="547" customWidth="1"/>
    <col min="7188" max="7188" width="0" style="547" hidden="1" customWidth="1"/>
    <col min="7189" max="7424" width="9.1796875" style="547"/>
    <col min="7425" max="7426" width="9.1796875" style="547" customWidth="1"/>
    <col min="7427" max="7427" width="15.54296875" style="547" customWidth="1"/>
    <col min="7428" max="7429" width="9.1796875" style="547" customWidth="1"/>
    <col min="7430" max="7430" width="19" style="547" customWidth="1"/>
    <col min="7431" max="7431" width="15.453125" style="547" customWidth="1"/>
    <col min="7432" max="7432" width="18.26953125" style="547" customWidth="1"/>
    <col min="7433" max="7433" width="9.1796875" style="547" customWidth="1"/>
    <col min="7434" max="7434" width="26.453125" style="547" customWidth="1"/>
    <col min="7435" max="7435" width="9.1796875" style="547" customWidth="1"/>
    <col min="7436" max="7436" width="11.7265625" style="547" customWidth="1"/>
    <col min="7437" max="7441" width="0" style="547" hidden="1" customWidth="1"/>
    <col min="7442" max="7442" width="9.1796875" style="547" customWidth="1"/>
    <col min="7443" max="7443" width="13" style="547" customWidth="1"/>
    <col min="7444" max="7444" width="0" style="547" hidden="1" customWidth="1"/>
    <col min="7445" max="7680" width="9.1796875" style="547"/>
    <col min="7681" max="7682" width="9.1796875" style="547" customWidth="1"/>
    <col min="7683" max="7683" width="15.54296875" style="547" customWidth="1"/>
    <col min="7684" max="7685" width="9.1796875" style="547" customWidth="1"/>
    <col min="7686" max="7686" width="19" style="547" customWidth="1"/>
    <col min="7687" max="7687" width="15.453125" style="547" customWidth="1"/>
    <col min="7688" max="7688" width="18.26953125" style="547" customWidth="1"/>
    <col min="7689" max="7689" width="9.1796875" style="547" customWidth="1"/>
    <col min="7690" max="7690" width="26.453125" style="547" customWidth="1"/>
    <col min="7691" max="7691" width="9.1796875" style="547" customWidth="1"/>
    <col min="7692" max="7692" width="11.7265625" style="547" customWidth="1"/>
    <col min="7693" max="7697" width="0" style="547" hidden="1" customWidth="1"/>
    <col min="7698" max="7698" width="9.1796875" style="547" customWidth="1"/>
    <col min="7699" max="7699" width="13" style="547" customWidth="1"/>
    <col min="7700" max="7700" width="0" style="547" hidden="1" customWidth="1"/>
    <col min="7701" max="7936" width="9.1796875" style="547"/>
    <col min="7937" max="7938" width="9.1796875" style="547" customWidth="1"/>
    <col min="7939" max="7939" width="15.54296875" style="547" customWidth="1"/>
    <col min="7940" max="7941" width="9.1796875" style="547" customWidth="1"/>
    <col min="7942" max="7942" width="19" style="547" customWidth="1"/>
    <col min="7943" max="7943" width="15.453125" style="547" customWidth="1"/>
    <col min="7944" max="7944" width="18.26953125" style="547" customWidth="1"/>
    <col min="7945" max="7945" width="9.1796875" style="547" customWidth="1"/>
    <col min="7946" max="7946" width="26.453125" style="547" customWidth="1"/>
    <col min="7947" max="7947" width="9.1796875" style="547" customWidth="1"/>
    <col min="7948" max="7948" width="11.7265625" style="547" customWidth="1"/>
    <col min="7949" max="7953" width="0" style="547" hidden="1" customWidth="1"/>
    <col min="7954" max="7954" width="9.1796875" style="547" customWidth="1"/>
    <col min="7955" max="7955" width="13" style="547" customWidth="1"/>
    <col min="7956" max="7956" width="0" style="547" hidden="1" customWidth="1"/>
    <col min="7957" max="8192" width="9.1796875" style="547"/>
    <col min="8193" max="8194" width="9.1796875" style="547" customWidth="1"/>
    <col min="8195" max="8195" width="15.54296875" style="547" customWidth="1"/>
    <col min="8196" max="8197" width="9.1796875" style="547" customWidth="1"/>
    <col min="8198" max="8198" width="19" style="547" customWidth="1"/>
    <col min="8199" max="8199" width="15.453125" style="547" customWidth="1"/>
    <col min="8200" max="8200" width="18.26953125" style="547" customWidth="1"/>
    <col min="8201" max="8201" width="9.1796875" style="547" customWidth="1"/>
    <col min="8202" max="8202" width="26.453125" style="547" customWidth="1"/>
    <col min="8203" max="8203" width="9.1796875" style="547" customWidth="1"/>
    <col min="8204" max="8204" width="11.7265625" style="547" customWidth="1"/>
    <col min="8205" max="8209" width="0" style="547" hidden="1" customWidth="1"/>
    <col min="8210" max="8210" width="9.1796875" style="547" customWidth="1"/>
    <col min="8211" max="8211" width="13" style="547" customWidth="1"/>
    <col min="8212" max="8212" width="0" style="547" hidden="1" customWidth="1"/>
    <col min="8213" max="8448" width="9.1796875" style="547"/>
    <col min="8449" max="8450" width="9.1796875" style="547" customWidth="1"/>
    <col min="8451" max="8451" width="15.54296875" style="547" customWidth="1"/>
    <col min="8452" max="8453" width="9.1796875" style="547" customWidth="1"/>
    <col min="8454" max="8454" width="19" style="547" customWidth="1"/>
    <col min="8455" max="8455" width="15.453125" style="547" customWidth="1"/>
    <col min="8456" max="8456" width="18.26953125" style="547" customWidth="1"/>
    <col min="8457" max="8457" width="9.1796875" style="547" customWidth="1"/>
    <col min="8458" max="8458" width="26.453125" style="547" customWidth="1"/>
    <col min="8459" max="8459" width="9.1796875" style="547" customWidth="1"/>
    <col min="8460" max="8460" width="11.7265625" style="547" customWidth="1"/>
    <col min="8461" max="8465" width="0" style="547" hidden="1" customWidth="1"/>
    <col min="8466" max="8466" width="9.1796875" style="547" customWidth="1"/>
    <col min="8467" max="8467" width="13" style="547" customWidth="1"/>
    <col min="8468" max="8468" width="0" style="547" hidden="1" customWidth="1"/>
    <col min="8469" max="8704" width="9.1796875" style="547"/>
    <col min="8705" max="8706" width="9.1796875" style="547" customWidth="1"/>
    <col min="8707" max="8707" width="15.54296875" style="547" customWidth="1"/>
    <col min="8708" max="8709" width="9.1796875" style="547" customWidth="1"/>
    <col min="8710" max="8710" width="19" style="547" customWidth="1"/>
    <col min="8711" max="8711" width="15.453125" style="547" customWidth="1"/>
    <col min="8712" max="8712" width="18.26953125" style="547" customWidth="1"/>
    <col min="8713" max="8713" width="9.1796875" style="547" customWidth="1"/>
    <col min="8714" max="8714" width="26.453125" style="547" customWidth="1"/>
    <col min="8715" max="8715" width="9.1796875" style="547" customWidth="1"/>
    <col min="8716" max="8716" width="11.7265625" style="547" customWidth="1"/>
    <col min="8717" max="8721" width="0" style="547" hidden="1" customWidth="1"/>
    <col min="8722" max="8722" width="9.1796875" style="547" customWidth="1"/>
    <col min="8723" max="8723" width="13" style="547" customWidth="1"/>
    <col min="8724" max="8724" width="0" style="547" hidden="1" customWidth="1"/>
    <col min="8725" max="8960" width="9.1796875" style="547"/>
    <col min="8961" max="8962" width="9.1796875" style="547" customWidth="1"/>
    <col min="8963" max="8963" width="15.54296875" style="547" customWidth="1"/>
    <col min="8964" max="8965" width="9.1796875" style="547" customWidth="1"/>
    <col min="8966" max="8966" width="19" style="547" customWidth="1"/>
    <col min="8967" max="8967" width="15.453125" style="547" customWidth="1"/>
    <col min="8968" max="8968" width="18.26953125" style="547" customWidth="1"/>
    <col min="8969" max="8969" width="9.1796875" style="547" customWidth="1"/>
    <col min="8970" max="8970" width="26.453125" style="547" customWidth="1"/>
    <col min="8971" max="8971" width="9.1796875" style="547" customWidth="1"/>
    <col min="8972" max="8972" width="11.7265625" style="547" customWidth="1"/>
    <col min="8973" max="8977" width="0" style="547" hidden="1" customWidth="1"/>
    <col min="8978" max="8978" width="9.1796875" style="547" customWidth="1"/>
    <col min="8979" max="8979" width="13" style="547" customWidth="1"/>
    <col min="8980" max="8980" width="0" style="547" hidden="1" customWidth="1"/>
    <col min="8981" max="9216" width="9.1796875" style="547"/>
    <col min="9217" max="9218" width="9.1796875" style="547" customWidth="1"/>
    <col min="9219" max="9219" width="15.54296875" style="547" customWidth="1"/>
    <col min="9220" max="9221" width="9.1796875" style="547" customWidth="1"/>
    <col min="9222" max="9222" width="19" style="547" customWidth="1"/>
    <col min="9223" max="9223" width="15.453125" style="547" customWidth="1"/>
    <col min="9224" max="9224" width="18.26953125" style="547" customWidth="1"/>
    <col min="9225" max="9225" width="9.1796875" style="547" customWidth="1"/>
    <col min="9226" max="9226" width="26.453125" style="547" customWidth="1"/>
    <col min="9227" max="9227" width="9.1796875" style="547" customWidth="1"/>
    <col min="9228" max="9228" width="11.7265625" style="547" customWidth="1"/>
    <col min="9229" max="9233" width="0" style="547" hidden="1" customWidth="1"/>
    <col min="9234" max="9234" width="9.1796875" style="547" customWidth="1"/>
    <col min="9235" max="9235" width="13" style="547" customWidth="1"/>
    <col min="9236" max="9236" width="0" style="547" hidden="1" customWidth="1"/>
    <col min="9237" max="9472" width="9.1796875" style="547"/>
    <col min="9473" max="9474" width="9.1796875" style="547" customWidth="1"/>
    <col min="9475" max="9475" width="15.54296875" style="547" customWidth="1"/>
    <col min="9476" max="9477" width="9.1796875" style="547" customWidth="1"/>
    <col min="9478" max="9478" width="19" style="547" customWidth="1"/>
    <col min="9479" max="9479" width="15.453125" style="547" customWidth="1"/>
    <col min="9480" max="9480" width="18.26953125" style="547" customWidth="1"/>
    <col min="9481" max="9481" width="9.1796875" style="547" customWidth="1"/>
    <col min="9482" max="9482" width="26.453125" style="547" customWidth="1"/>
    <col min="9483" max="9483" width="9.1796875" style="547" customWidth="1"/>
    <col min="9484" max="9484" width="11.7265625" style="547" customWidth="1"/>
    <col min="9485" max="9489" width="0" style="547" hidden="1" customWidth="1"/>
    <col min="9490" max="9490" width="9.1796875" style="547" customWidth="1"/>
    <col min="9491" max="9491" width="13" style="547" customWidth="1"/>
    <col min="9492" max="9492" width="0" style="547" hidden="1" customWidth="1"/>
    <col min="9493" max="9728" width="9.1796875" style="547"/>
    <col min="9729" max="9730" width="9.1796875" style="547" customWidth="1"/>
    <col min="9731" max="9731" width="15.54296875" style="547" customWidth="1"/>
    <col min="9732" max="9733" width="9.1796875" style="547" customWidth="1"/>
    <col min="9734" max="9734" width="19" style="547" customWidth="1"/>
    <col min="9735" max="9735" width="15.453125" style="547" customWidth="1"/>
    <col min="9736" max="9736" width="18.26953125" style="547" customWidth="1"/>
    <col min="9737" max="9737" width="9.1796875" style="547" customWidth="1"/>
    <col min="9738" max="9738" width="26.453125" style="547" customWidth="1"/>
    <col min="9739" max="9739" width="9.1796875" style="547" customWidth="1"/>
    <col min="9740" max="9740" width="11.7265625" style="547" customWidth="1"/>
    <col min="9741" max="9745" width="0" style="547" hidden="1" customWidth="1"/>
    <col min="9746" max="9746" width="9.1796875" style="547" customWidth="1"/>
    <col min="9747" max="9747" width="13" style="547" customWidth="1"/>
    <col min="9748" max="9748" width="0" style="547" hidden="1" customWidth="1"/>
    <col min="9749" max="9984" width="9.1796875" style="547"/>
    <col min="9985" max="9986" width="9.1796875" style="547" customWidth="1"/>
    <col min="9987" max="9987" width="15.54296875" style="547" customWidth="1"/>
    <col min="9988" max="9989" width="9.1796875" style="547" customWidth="1"/>
    <col min="9990" max="9990" width="19" style="547" customWidth="1"/>
    <col min="9991" max="9991" width="15.453125" style="547" customWidth="1"/>
    <col min="9992" max="9992" width="18.26953125" style="547" customWidth="1"/>
    <col min="9993" max="9993" width="9.1796875" style="547" customWidth="1"/>
    <col min="9994" max="9994" width="26.453125" style="547" customWidth="1"/>
    <col min="9995" max="9995" width="9.1796875" style="547" customWidth="1"/>
    <col min="9996" max="9996" width="11.7265625" style="547" customWidth="1"/>
    <col min="9997" max="10001" width="0" style="547" hidden="1" customWidth="1"/>
    <col min="10002" max="10002" width="9.1796875" style="547" customWidth="1"/>
    <col min="10003" max="10003" width="13" style="547" customWidth="1"/>
    <col min="10004" max="10004" width="0" style="547" hidden="1" customWidth="1"/>
    <col min="10005" max="10240" width="9.1796875" style="547"/>
    <col min="10241" max="10242" width="9.1796875" style="547" customWidth="1"/>
    <col min="10243" max="10243" width="15.54296875" style="547" customWidth="1"/>
    <col min="10244" max="10245" width="9.1796875" style="547" customWidth="1"/>
    <col min="10246" max="10246" width="19" style="547" customWidth="1"/>
    <col min="10247" max="10247" width="15.453125" style="547" customWidth="1"/>
    <col min="10248" max="10248" width="18.26953125" style="547" customWidth="1"/>
    <col min="10249" max="10249" width="9.1796875" style="547" customWidth="1"/>
    <col min="10250" max="10250" width="26.453125" style="547" customWidth="1"/>
    <col min="10251" max="10251" width="9.1796875" style="547" customWidth="1"/>
    <col min="10252" max="10252" width="11.7265625" style="547" customWidth="1"/>
    <col min="10253" max="10257" width="0" style="547" hidden="1" customWidth="1"/>
    <col min="10258" max="10258" width="9.1796875" style="547" customWidth="1"/>
    <col min="10259" max="10259" width="13" style="547" customWidth="1"/>
    <col min="10260" max="10260" width="0" style="547" hidden="1" customWidth="1"/>
    <col min="10261" max="10496" width="9.1796875" style="547"/>
    <col min="10497" max="10498" width="9.1796875" style="547" customWidth="1"/>
    <col min="10499" max="10499" width="15.54296875" style="547" customWidth="1"/>
    <col min="10500" max="10501" width="9.1796875" style="547" customWidth="1"/>
    <col min="10502" max="10502" width="19" style="547" customWidth="1"/>
    <col min="10503" max="10503" width="15.453125" style="547" customWidth="1"/>
    <col min="10504" max="10504" width="18.26953125" style="547" customWidth="1"/>
    <col min="10505" max="10505" width="9.1796875" style="547" customWidth="1"/>
    <col min="10506" max="10506" width="26.453125" style="547" customWidth="1"/>
    <col min="10507" max="10507" width="9.1796875" style="547" customWidth="1"/>
    <col min="10508" max="10508" width="11.7265625" style="547" customWidth="1"/>
    <col min="10509" max="10513" width="0" style="547" hidden="1" customWidth="1"/>
    <col min="10514" max="10514" width="9.1796875" style="547" customWidth="1"/>
    <col min="10515" max="10515" width="13" style="547" customWidth="1"/>
    <col min="10516" max="10516" width="0" style="547" hidden="1" customWidth="1"/>
    <col min="10517" max="10752" width="9.1796875" style="547"/>
    <col min="10753" max="10754" width="9.1796875" style="547" customWidth="1"/>
    <col min="10755" max="10755" width="15.54296875" style="547" customWidth="1"/>
    <col min="10756" max="10757" width="9.1796875" style="547" customWidth="1"/>
    <col min="10758" max="10758" width="19" style="547" customWidth="1"/>
    <col min="10759" max="10759" width="15.453125" style="547" customWidth="1"/>
    <col min="10760" max="10760" width="18.26953125" style="547" customWidth="1"/>
    <col min="10761" max="10761" width="9.1796875" style="547" customWidth="1"/>
    <col min="10762" max="10762" width="26.453125" style="547" customWidth="1"/>
    <col min="10763" max="10763" width="9.1796875" style="547" customWidth="1"/>
    <col min="10764" max="10764" width="11.7265625" style="547" customWidth="1"/>
    <col min="10765" max="10769" width="0" style="547" hidden="1" customWidth="1"/>
    <col min="10770" max="10770" width="9.1796875" style="547" customWidth="1"/>
    <col min="10771" max="10771" width="13" style="547" customWidth="1"/>
    <col min="10772" max="10772" width="0" style="547" hidden="1" customWidth="1"/>
    <col min="10773" max="11008" width="9.1796875" style="547"/>
    <col min="11009" max="11010" width="9.1796875" style="547" customWidth="1"/>
    <col min="11011" max="11011" width="15.54296875" style="547" customWidth="1"/>
    <col min="11012" max="11013" width="9.1796875" style="547" customWidth="1"/>
    <col min="11014" max="11014" width="19" style="547" customWidth="1"/>
    <col min="11015" max="11015" width="15.453125" style="547" customWidth="1"/>
    <col min="11016" max="11016" width="18.26953125" style="547" customWidth="1"/>
    <col min="11017" max="11017" width="9.1796875" style="547" customWidth="1"/>
    <col min="11018" max="11018" width="26.453125" style="547" customWidth="1"/>
    <col min="11019" max="11019" width="9.1796875" style="547" customWidth="1"/>
    <col min="11020" max="11020" width="11.7265625" style="547" customWidth="1"/>
    <col min="11021" max="11025" width="0" style="547" hidden="1" customWidth="1"/>
    <col min="11026" max="11026" width="9.1796875" style="547" customWidth="1"/>
    <col min="11027" max="11027" width="13" style="547" customWidth="1"/>
    <col min="11028" max="11028" width="0" style="547" hidden="1" customWidth="1"/>
    <col min="11029" max="11264" width="9.1796875" style="547"/>
    <col min="11265" max="11266" width="9.1796875" style="547" customWidth="1"/>
    <col min="11267" max="11267" width="15.54296875" style="547" customWidth="1"/>
    <col min="11268" max="11269" width="9.1796875" style="547" customWidth="1"/>
    <col min="11270" max="11270" width="19" style="547" customWidth="1"/>
    <col min="11271" max="11271" width="15.453125" style="547" customWidth="1"/>
    <col min="11272" max="11272" width="18.26953125" style="547" customWidth="1"/>
    <col min="11273" max="11273" width="9.1796875" style="547" customWidth="1"/>
    <col min="11274" max="11274" width="26.453125" style="547" customWidth="1"/>
    <col min="11275" max="11275" width="9.1796875" style="547" customWidth="1"/>
    <col min="11276" max="11276" width="11.7265625" style="547" customWidth="1"/>
    <col min="11277" max="11281" width="0" style="547" hidden="1" customWidth="1"/>
    <col min="11282" max="11282" width="9.1796875" style="547" customWidth="1"/>
    <col min="11283" max="11283" width="13" style="547" customWidth="1"/>
    <col min="11284" max="11284" width="0" style="547" hidden="1" customWidth="1"/>
    <col min="11285" max="11520" width="9.1796875" style="547"/>
    <col min="11521" max="11522" width="9.1796875" style="547" customWidth="1"/>
    <col min="11523" max="11523" width="15.54296875" style="547" customWidth="1"/>
    <col min="11524" max="11525" width="9.1796875" style="547" customWidth="1"/>
    <col min="11526" max="11526" width="19" style="547" customWidth="1"/>
    <col min="11527" max="11527" width="15.453125" style="547" customWidth="1"/>
    <col min="11528" max="11528" width="18.26953125" style="547" customWidth="1"/>
    <col min="11529" max="11529" width="9.1796875" style="547" customWidth="1"/>
    <col min="11530" max="11530" width="26.453125" style="547" customWidth="1"/>
    <col min="11531" max="11531" width="9.1796875" style="547" customWidth="1"/>
    <col min="11532" max="11532" width="11.7265625" style="547" customWidth="1"/>
    <col min="11533" max="11537" width="0" style="547" hidden="1" customWidth="1"/>
    <col min="11538" max="11538" width="9.1796875" style="547" customWidth="1"/>
    <col min="11539" max="11539" width="13" style="547" customWidth="1"/>
    <col min="11540" max="11540" width="0" style="547" hidden="1" customWidth="1"/>
    <col min="11541" max="11776" width="9.1796875" style="547"/>
    <col min="11777" max="11778" width="9.1796875" style="547" customWidth="1"/>
    <col min="11779" max="11779" width="15.54296875" style="547" customWidth="1"/>
    <col min="11780" max="11781" width="9.1796875" style="547" customWidth="1"/>
    <col min="11782" max="11782" width="19" style="547" customWidth="1"/>
    <col min="11783" max="11783" width="15.453125" style="547" customWidth="1"/>
    <col min="11784" max="11784" width="18.26953125" style="547" customWidth="1"/>
    <col min="11785" max="11785" width="9.1796875" style="547" customWidth="1"/>
    <col min="11786" max="11786" width="26.453125" style="547" customWidth="1"/>
    <col min="11787" max="11787" width="9.1796875" style="547" customWidth="1"/>
    <col min="11788" max="11788" width="11.7265625" style="547" customWidth="1"/>
    <col min="11789" max="11793" width="0" style="547" hidden="1" customWidth="1"/>
    <col min="11794" max="11794" width="9.1796875" style="547" customWidth="1"/>
    <col min="11795" max="11795" width="13" style="547" customWidth="1"/>
    <col min="11796" max="11796" width="0" style="547" hidden="1" customWidth="1"/>
    <col min="11797" max="12032" width="9.1796875" style="547"/>
    <col min="12033" max="12034" width="9.1796875" style="547" customWidth="1"/>
    <col min="12035" max="12035" width="15.54296875" style="547" customWidth="1"/>
    <col min="12036" max="12037" width="9.1796875" style="547" customWidth="1"/>
    <col min="12038" max="12038" width="19" style="547" customWidth="1"/>
    <col min="12039" max="12039" width="15.453125" style="547" customWidth="1"/>
    <col min="12040" max="12040" width="18.26953125" style="547" customWidth="1"/>
    <col min="12041" max="12041" width="9.1796875" style="547" customWidth="1"/>
    <col min="12042" max="12042" width="26.453125" style="547" customWidth="1"/>
    <col min="12043" max="12043" width="9.1796875" style="547" customWidth="1"/>
    <col min="12044" max="12044" width="11.7265625" style="547" customWidth="1"/>
    <col min="12045" max="12049" width="0" style="547" hidden="1" customWidth="1"/>
    <col min="12050" max="12050" width="9.1796875" style="547" customWidth="1"/>
    <col min="12051" max="12051" width="13" style="547" customWidth="1"/>
    <col min="12052" max="12052" width="0" style="547" hidden="1" customWidth="1"/>
    <col min="12053" max="12288" width="9.1796875" style="547"/>
    <col min="12289" max="12290" width="9.1796875" style="547" customWidth="1"/>
    <col min="12291" max="12291" width="15.54296875" style="547" customWidth="1"/>
    <col min="12292" max="12293" width="9.1796875" style="547" customWidth="1"/>
    <col min="12294" max="12294" width="19" style="547" customWidth="1"/>
    <col min="12295" max="12295" width="15.453125" style="547" customWidth="1"/>
    <col min="12296" max="12296" width="18.26953125" style="547" customWidth="1"/>
    <col min="12297" max="12297" width="9.1796875" style="547" customWidth="1"/>
    <col min="12298" max="12298" width="26.453125" style="547" customWidth="1"/>
    <col min="12299" max="12299" width="9.1796875" style="547" customWidth="1"/>
    <col min="12300" max="12300" width="11.7265625" style="547" customWidth="1"/>
    <col min="12301" max="12305" width="0" style="547" hidden="1" customWidth="1"/>
    <col min="12306" max="12306" width="9.1796875" style="547" customWidth="1"/>
    <col min="12307" max="12307" width="13" style="547" customWidth="1"/>
    <col min="12308" max="12308" width="0" style="547" hidden="1" customWidth="1"/>
    <col min="12309" max="12544" width="9.1796875" style="547"/>
    <col min="12545" max="12546" width="9.1796875" style="547" customWidth="1"/>
    <col min="12547" max="12547" width="15.54296875" style="547" customWidth="1"/>
    <col min="12548" max="12549" width="9.1796875" style="547" customWidth="1"/>
    <col min="12550" max="12550" width="19" style="547" customWidth="1"/>
    <col min="12551" max="12551" width="15.453125" style="547" customWidth="1"/>
    <col min="12552" max="12552" width="18.26953125" style="547" customWidth="1"/>
    <col min="12553" max="12553" width="9.1796875" style="547" customWidth="1"/>
    <col min="12554" max="12554" width="26.453125" style="547" customWidth="1"/>
    <col min="12555" max="12555" width="9.1796875" style="547" customWidth="1"/>
    <col min="12556" max="12556" width="11.7265625" style="547" customWidth="1"/>
    <col min="12557" max="12561" width="0" style="547" hidden="1" customWidth="1"/>
    <col min="12562" max="12562" width="9.1796875" style="547" customWidth="1"/>
    <col min="12563" max="12563" width="13" style="547" customWidth="1"/>
    <col min="12564" max="12564" width="0" style="547" hidden="1" customWidth="1"/>
    <col min="12565" max="12800" width="9.1796875" style="547"/>
    <col min="12801" max="12802" width="9.1796875" style="547" customWidth="1"/>
    <col min="12803" max="12803" width="15.54296875" style="547" customWidth="1"/>
    <col min="12804" max="12805" width="9.1796875" style="547" customWidth="1"/>
    <col min="12806" max="12806" width="19" style="547" customWidth="1"/>
    <col min="12807" max="12807" width="15.453125" style="547" customWidth="1"/>
    <col min="12808" max="12808" width="18.26953125" style="547" customWidth="1"/>
    <col min="12809" max="12809" width="9.1796875" style="547" customWidth="1"/>
    <col min="12810" max="12810" width="26.453125" style="547" customWidth="1"/>
    <col min="12811" max="12811" width="9.1796875" style="547" customWidth="1"/>
    <col min="12812" max="12812" width="11.7265625" style="547" customWidth="1"/>
    <col min="12813" max="12817" width="0" style="547" hidden="1" customWidth="1"/>
    <col min="12818" max="12818" width="9.1796875" style="547" customWidth="1"/>
    <col min="12819" max="12819" width="13" style="547" customWidth="1"/>
    <col min="12820" max="12820" width="0" style="547" hidden="1" customWidth="1"/>
    <col min="12821" max="13056" width="9.1796875" style="547"/>
    <col min="13057" max="13058" width="9.1796875" style="547" customWidth="1"/>
    <col min="13059" max="13059" width="15.54296875" style="547" customWidth="1"/>
    <col min="13060" max="13061" width="9.1796875" style="547" customWidth="1"/>
    <col min="13062" max="13062" width="19" style="547" customWidth="1"/>
    <col min="13063" max="13063" width="15.453125" style="547" customWidth="1"/>
    <col min="13064" max="13064" width="18.26953125" style="547" customWidth="1"/>
    <col min="13065" max="13065" width="9.1796875" style="547" customWidth="1"/>
    <col min="13066" max="13066" width="26.453125" style="547" customWidth="1"/>
    <col min="13067" max="13067" width="9.1796875" style="547" customWidth="1"/>
    <col min="13068" max="13068" width="11.7265625" style="547" customWidth="1"/>
    <col min="13069" max="13073" width="0" style="547" hidden="1" customWidth="1"/>
    <col min="13074" max="13074" width="9.1796875" style="547" customWidth="1"/>
    <col min="13075" max="13075" width="13" style="547" customWidth="1"/>
    <col min="13076" max="13076" width="0" style="547" hidden="1" customWidth="1"/>
    <col min="13077" max="13312" width="9.1796875" style="547"/>
    <col min="13313" max="13314" width="9.1796875" style="547" customWidth="1"/>
    <col min="13315" max="13315" width="15.54296875" style="547" customWidth="1"/>
    <col min="13316" max="13317" width="9.1796875" style="547" customWidth="1"/>
    <col min="13318" max="13318" width="19" style="547" customWidth="1"/>
    <col min="13319" max="13319" width="15.453125" style="547" customWidth="1"/>
    <col min="13320" max="13320" width="18.26953125" style="547" customWidth="1"/>
    <col min="13321" max="13321" width="9.1796875" style="547" customWidth="1"/>
    <col min="13322" max="13322" width="26.453125" style="547" customWidth="1"/>
    <col min="13323" max="13323" width="9.1796875" style="547" customWidth="1"/>
    <col min="13324" max="13324" width="11.7265625" style="547" customWidth="1"/>
    <col min="13325" max="13329" width="0" style="547" hidden="1" customWidth="1"/>
    <col min="13330" max="13330" width="9.1796875" style="547" customWidth="1"/>
    <col min="13331" max="13331" width="13" style="547" customWidth="1"/>
    <col min="13332" max="13332" width="0" style="547" hidden="1" customWidth="1"/>
    <col min="13333" max="13568" width="9.1796875" style="547"/>
    <col min="13569" max="13570" width="9.1796875" style="547" customWidth="1"/>
    <col min="13571" max="13571" width="15.54296875" style="547" customWidth="1"/>
    <col min="13572" max="13573" width="9.1796875" style="547" customWidth="1"/>
    <col min="13574" max="13574" width="19" style="547" customWidth="1"/>
    <col min="13575" max="13575" width="15.453125" style="547" customWidth="1"/>
    <col min="13576" max="13576" width="18.26953125" style="547" customWidth="1"/>
    <col min="13577" max="13577" width="9.1796875" style="547" customWidth="1"/>
    <col min="13578" max="13578" width="26.453125" style="547" customWidth="1"/>
    <col min="13579" max="13579" width="9.1796875" style="547" customWidth="1"/>
    <col min="13580" max="13580" width="11.7265625" style="547" customWidth="1"/>
    <col min="13581" max="13585" width="0" style="547" hidden="1" customWidth="1"/>
    <col min="13586" max="13586" width="9.1796875" style="547" customWidth="1"/>
    <col min="13587" max="13587" width="13" style="547" customWidth="1"/>
    <col min="13588" max="13588" width="0" style="547" hidden="1" customWidth="1"/>
    <col min="13589" max="13824" width="9.1796875" style="547"/>
    <col min="13825" max="13826" width="9.1796875" style="547" customWidth="1"/>
    <col min="13827" max="13827" width="15.54296875" style="547" customWidth="1"/>
    <col min="13828" max="13829" width="9.1796875" style="547" customWidth="1"/>
    <col min="13830" max="13830" width="19" style="547" customWidth="1"/>
    <col min="13831" max="13831" width="15.453125" style="547" customWidth="1"/>
    <col min="13832" max="13832" width="18.26953125" style="547" customWidth="1"/>
    <col min="13833" max="13833" width="9.1796875" style="547" customWidth="1"/>
    <col min="13834" max="13834" width="26.453125" style="547" customWidth="1"/>
    <col min="13835" max="13835" width="9.1796875" style="547" customWidth="1"/>
    <col min="13836" max="13836" width="11.7265625" style="547" customWidth="1"/>
    <col min="13837" max="13841" width="0" style="547" hidden="1" customWidth="1"/>
    <col min="13842" max="13842" width="9.1796875" style="547" customWidth="1"/>
    <col min="13843" max="13843" width="13" style="547" customWidth="1"/>
    <col min="13844" max="13844" width="0" style="547" hidden="1" customWidth="1"/>
    <col min="13845" max="14080" width="9.1796875" style="547"/>
    <col min="14081" max="14082" width="9.1796875" style="547" customWidth="1"/>
    <col min="14083" max="14083" width="15.54296875" style="547" customWidth="1"/>
    <col min="14084" max="14085" width="9.1796875" style="547" customWidth="1"/>
    <col min="14086" max="14086" width="19" style="547" customWidth="1"/>
    <col min="14087" max="14087" width="15.453125" style="547" customWidth="1"/>
    <col min="14088" max="14088" width="18.26953125" style="547" customWidth="1"/>
    <col min="14089" max="14089" width="9.1796875" style="547" customWidth="1"/>
    <col min="14090" max="14090" width="26.453125" style="547" customWidth="1"/>
    <col min="14091" max="14091" width="9.1796875" style="547" customWidth="1"/>
    <col min="14092" max="14092" width="11.7265625" style="547" customWidth="1"/>
    <col min="14093" max="14097" width="0" style="547" hidden="1" customWidth="1"/>
    <col min="14098" max="14098" width="9.1796875" style="547" customWidth="1"/>
    <col min="14099" max="14099" width="13" style="547" customWidth="1"/>
    <col min="14100" max="14100" width="0" style="547" hidden="1" customWidth="1"/>
    <col min="14101" max="14336" width="9.1796875" style="547"/>
    <col min="14337" max="14338" width="9.1796875" style="547" customWidth="1"/>
    <col min="14339" max="14339" width="15.54296875" style="547" customWidth="1"/>
    <col min="14340" max="14341" width="9.1796875" style="547" customWidth="1"/>
    <col min="14342" max="14342" width="19" style="547" customWidth="1"/>
    <col min="14343" max="14343" width="15.453125" style="547" customWidth="1"/>
    <col min="14344" max="14344" width="18.26953125" style="547" customWidth="1"/>
    <col min="14345" max="14345" width="9.1796875" style="547" customWidth="1"/>
    <col min="14346" max="14346" width="26.453125" style="547" customWidth="1"/>
    <col min="14347" max="14347" width="9.1796875" style="547" customWidth="1"/>
    <col min="14348" max="14348" width="11.7265625" style="547" customWidth="1"/>
    <col min="14349" max="14353" width="0" style="547" hidden="1" customWidth="1"/>
    <col min="14354" max="14354" width="9.1796875" style="547" customWidth="1"/>
    <col min="14355" max="14355" width="13" style="547" customWidth="1"/>
    <col min="14356" max="14356" width="0" style="547" hidden="1" customWidth="1"/>
    <col min="14357" max="14592" width="9.1796875" style="547"/>
    <col min="14593" max="14594" width="9.1796875" style="547" customWidth="1"/>
    <col min="14595" max="14595" width="15.54296875" style="547" customWidth="1"/>
    <col min="14596" max="14597" width="9.1796875" style="547" customWidth="1"/>
    <col min="14598" max="14598" width="19" style="547" customWidth="1"/>
    <col min="14599" max="14599" width="15.453125" style="547" customWidth="1"/>
    <col min="14600" max="14600" width="18.26953125" style="547" customWidth="1"/>
    <col min="14601" max="14601" width="9.1796875" style="547" customWidth="1"/>
    <col min="14602" max="14602" width="26.453125" style="547" customWidth="1"/>
    <col min="14603" max="14603" width="9.1796875" style="547" customWidth="1"/>
    <col min="14604" max="14604" width="11.7265625" style="547" customWidth="1"/>
    <col min="14605" max="14609" width="0" style="547" hidden="1" customWidth="1"/>
    <col min="14610" max="14610" width="9.1796875" style="547" customWidth="1"/>
    <col min="14611" max="14611" width="13" style="547" customWidth="1"/>
    <col min="14612" max="14612" width="0" style="547" hidden="1" customWidth="1"/>
    <col min="14613" max="14848" width="9.1796875" style="547"/>
    <col min="14849" max="14850" width="9.1796875" style="547" customWidth="1"/>
    <col min="14851" max="14851" width="15.54296875" style="547" customWidth="1"/>
    <col min="14852" max="14853" width="9.1796875" style="547" customWidth="1"/>
    <col min="14854" max="14854" width="19" style="547" customWidth="1"/>
    <col min="14855" max="14855" width="15.453125" style="547" customWidth="1"/>
    <col min="14856" max="14856" width="18.26953125" style="547" customWidth="1"/>
    <col min="14857" max="14857" width="9.1796875" style="547" customWidth="1"/>
    <col min="14858" max="14858" width="26.453125" style="547" customWidth="1"/>
    <col min="14859" max="14859" width="9.1796875" style="547" customWidth="1"/>
    <col min="14860" max="14860" width="11.7265625" style="547" customWidth="1"/>
    <col min="14861" max="14865" width="0" style="547" hidden="1" customWidth="1"/>
    <col min="14866" max="14866" width="9.1796875" style="547" customWidth="1"/>
    <col min="14867" max="14867" width="13" style="547" customWidth="1"/>
    <col min="14868" max="14868" width="0" style="547" hidden="1" customWidth="1"/>
    <col min="14869" max="15104" width="9.1796875" style="547"/>
    <col min="15105" max="15106" width="9.1796875" style="547" customWidth="1"/>
    <col min="15107" max="15107" width="15.54296875" style="547" customWidth="1"/>
    <col min="15108" max="15109" width="9.1796875" style="547" customWidth="1"/>
    <col min="15110" max="15110" width="19" style="547" customWidth="1"/>
    <col min="15111" max="15111" width="15.453125" style="547" customWidth="1"/>
    <col min="15112" max="15112" width="18.26953125" style="547" customWidth="1"/>
    <col min="15113" max="15113" width="9.1796875" style="547" customWidth="1"/>
    <col min="15114" max="15114" width="26.453125" style="547" customWidth="1"/>
    <col min="15115" max="15115" width="9.1796875" style="547" customWidth="1"/>
    <col min="15116" max="15116" width="11.7265625" style="547" customWidth="1"/>
    <col min="15117" max="15121" width="0" style="547" hidden="1" customWidth="1"/>
    <col min="15122" max="15122" width="9.1796875" style="547" customWidth="1"/>
    <col min="15123" max="15123" width="13" style="547" customWidth="1"/>
    <col min="15124" max="15124" width="0" style="547" hidden="1" customWidth="1"/>
    <col min="15125" max="15360" width="9.1796875" style="547"/>
    <col min="15361" max="15362" width="9.1796875" style="547" customWidth="1"/>
    <col min="15363" max="15363" width="15.54296875" style="547" customWidth="1"/>
    <col min="15364" max="15365" width="9.1796875" style="547" customWidth="1"/>
    <col min="15366" max="15366" width="19" style="547" customWidth="1"/>
    <col min="15367" max="15367" width="15.453125" style="547" customWidth="1"/>
    <col min="15368" max="15368" width="18.26953125" style="547" customWidth="1"/>
    <col min="15369" max="15369" width="9.1796875" style="547" customWidth="1"/>
    <col min="15370" max="15370" width="26.453125" style="547" customWidth="1"/>
    <col min="15371" max="15371" width="9.1796875" style="547" customWidth="1"/>
    <col min="15372" max="15372" width="11.7265625" style="547" customWidth="1"/>
    <col min="15373" max="15377" width="0" style="547" hidden="1" customWidth="1"/>
    <col min="15378" max="15378" width="9.1796875" style="547" customWidth="1"/>
    <col min="15379" max="15379" width="13" style="547" customWidth="1"/>
    <col min="15380" max="15380" width="0" style="547" hidden="1" customWidth="1"/>
    <col min="15381" max="15616" width="9.1796875" style="547"/>
    <col min="15617" max="15618" width="9.1796875" style="547" customWidth="1"/>
    <col min="15619" max="15619" width="15.54296875" style="547" customWidth="1"/>
    <col min="15620" max="15621" width="9.1796875" style="547" customWidth="1"/>
    <col min="15622" max="15622" width="19" style="547" customWidth="1"/>
    <col min="15623" max="15623" width="15.453125" style="547" customWidth="1"/>
    <col min="15624" max="15624" width="18.26953125" style="547" customWidth="1"/>
    <col min="15625" max="15625" width="9.1796875" style="547" customWidth="1"/>
    <col min="15626" max="15626" width="26.453125" style="547" customWidth="1"/>
    <col min="15627" max="15627" width="9.1796875" style="547" customWidth="1"/>
    <col min="15628" max="15628" width="11.7265625" style="547" customWidth="1"/>
    <col min="15629" max="15633" width="0" style="547" hidden="1" customWidth="1"/>
    <col min="15634" max="15634" width="9.1796875" style="547" customWidth="1"/>
    <col min="15635" max="15635" width="13" style="547" customWidth="1"/>
    <col min="15636" max="15636" width="0" style="547" hidden="1" customWidth="1"/>
    <col min="15637" max="15872" width="9.1796875" style="547"/>
    <col min="15873" max="15874" width="9.1796875" style="547" customWidth="1"/>
    <col min="15875" max="15875" width="15.54296875" style="547" customWidth="1"/>
    <col min="15876" max="15877" width="9.1796875" style="547" customWidth="1"/>
    <col min="15878" max="15878" width="19" style="547" customWidth="1"/>
    <col min="15879" max="15879" width="15.453125" style="547" customWidth="1"/>
    <col min="15880" max="15880" width="18.26953125" style="547" customWidth="1"/>
    <col min="15881" max="15881" width="9.1796875" style="547" customWidth="1"/>
    <col min="15882" max="15882" width="26.453125" style="547" customWidth="1"/>
    <col min="15883" max="15883" width="9.1796875" style="547" customWidth="1"/>
    <col min="15884" max="15884" width="11.7265625" style="547" customWidth="1"/>
    <col min="15885" max="15889" width="0" style="547" hidden="1" customWidth="1"/>
    <col min="15890" max="15890" width="9.1796875" style="547" customWidth="1"/>
    <col min="15891" max="15891" width="13" style="547" customWidth="1"/>
    <col min="15892" max="15892" width="0" style="547" hidden="1" customWidth="1"/>
    <col min="15893" max="16128" width="9.1796875" style="547"/>
    <col min="16129" max="16130" width="9.1796875" style="547" customWidth="1"/>
    <col min="16131" max="16131" width="15.54296875" style="547" customWidth="1"/>
    <col min="16132" max="16133" width="9.1796875" style="547" customWidth="1"/>
    <col min="16134" max="16134" width="19" style="547" customWidth="1"/>
    <col min="16135" max="16135" width="15.453125" style="547" customWidth="1"/>
    <col min="16136" max="16136" width="18.26953125" style="547" customWidth="1"/>
    <col min="16137" max="16137" width="9.1796875" style="547" customWidth="1"/>
    <col min="16138" max="16138" width="26.453125" style="547" customWidth="1"/>
    <col min="16139" max="16139" width="9.1796875" style="547" customWidth="1"/>
    <col min="16140" max="16140" width="11.7265625" style="547" customWidth="1"/>
    <col min="16141" max="16145" width="0" style="547" hidden="1" customWidth="1"/>
    <col min="16146" max="16146" width="9.1796875" style="547" customWidth="1"/>
    <col min="16147" max="16147" width="13" style="547" customWidth="1"/>
    <col min="16148" max="16148" width="0" style="547" hidden="1" customWidth="1"/>
    <col min="16149" max="16384" width="9.1796875" style="547"/>
  </cols>
  <sheetData>
    <row r="1" spans="8:20" hidden="1" x14ac:dyDescent="0.35">
      <c r="K1" s="541"/>
      <c r="L1" s="870" t="s">
        <v>625</v>
      </c>
      <c r="M1" s="870"/>
    </row>
    <row r="2" spans="8:20" hidden="1" x14ac:dyDescent="0.35">
      <c r="J2" s="541"/>
      <c r="K2" s="541"/>
      <c r="L2" s="870" t="s">
        <v>450</v>
      </c>
      <c r="M2" s="870"/>
      <c r="N2" s="870"/>
    </row>
    <row r="3" spans="8:20" hidden="1" x14ac:dyDescent="0.3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idden="1" x14ac:dyDescent="0.35">
      <c r="I4" s="541"/>
      <c r="J4" s="541"/>
      <c r="K4" s="541"/>
      <c r="L4" s="870" t="s">
        <v>448</v>
      </c>
      <c r="M4" s="870"/>
      <c r="N4" s="870"/>
      <c r="O4" s="870"/>
    </row>
    <row r="5" spans="8:20" hidden="1" x14ac:dyDescent="0.35">
      <c r="I5" s="541"/>
      <c r="J5" s="541"/>
      <c r="K5" s="541"/>
      <c r="L5" s="870" t="s">
        <v>448</v>
      </c>
      <c r="M5" s="870"/>
      <c r="N5" s="870"/>
      <c r="O5" s="870"/>
    </row>
    <row r="6" spans="8:20" hidden="1" x14ac:dyDescent="0.35">
      <c r="J6" s="541"/>
      <c r="K6" s="541"/>
      <c r="L6" s="871" t="s">
        <v>627</v>
      </c>
      <c r="M6" s="871"/>
      <c r="N6" s="871"/>
    </row>
    <row r="7" spans="8:20" hidden="1" x14ac:dyDescent="0.35"/>
    <row r="8" spans="8:20" hidden="1" x14ac:dyDescent="0.35">
      <c r="L8" s="870" t="s">
        <v>446</v>
      </c>
    </row>
    <row r="9" spans="8:20" hidden="1" x14ac:dyDescent="0.35"/>
    <row r="10" spans="8:20" hidden="1" x14ac:dyDescent="0.35">
      <c r="L10" s="870" t="s">
        <v>628</v>
      </c>
    </row>
    <row r="11" spans="8:20" hidden="1" x14ac:dyDescent="0.35">
      <c r="L11" s="870"/>
    </row>
    <row r="12" spans="8:20" x14ac:dyDescent="0.35">
      <c r="I12" s="261"/>
      <c r="J12" s="261"/>
      <c r="K12" s="2601" t="s">
        <v>792</v>
      </c>
      <c r="L12" s="2601"/>
      <c r="M12" s="2601"/>
      <c r="N12" s="2601"/>
      <c r="O12" s="2601"/>
      <c r="P12" s="2601"/>
      <c r="Q12" s="2601"/>
      <c r="R12" s="2601"/>
      <c r="S12" s="2601"/>
      <c r="T12" s="2601"/>
    </row>
    <row r="13" spans="8:20" x14ac:dyDescent="0.35">
      <c r="I13" s="261"/>
      <c r="J13" s="261"/>
      <c r="K13" s="2601" t="s">
        <v>450</v>
      </c>
      <c r="L13" s="2601"/>
      <c r="M13" s="2601"/>
      <c r="N13" s="2601"/>
      <c r="O13" s="2601"/>
      <c r="P13" s="2601"/>
      <c r="Q13" s="2601"/>
      <c r="R13" s="2601"/>
      <c r="S13" s="2601"/>
      <c r="T13" s="2601"/>
    </row>
    <row r="14" spans="8:20" x14ac:dyDescent="0.35">
      <c r="I14" s="261"/>
      <c r="J14" s="2601" t="s">
        <v>449</v>
      </c>
      <c r="K14" s="2601"/>
      <c r="L14" s="2601"/>
      <c r="M14" s="2601"/>
      <c r="N14" s="2601"/>
      <c r="O14" s="2601"/>
      <c r="P14" s="2601"/>
      <c r="Q14" s="2601"/>
      <c r="R14" s="2601"/>
      <c r="S14" s="2601"/>
      <c r="T14" s="2601"/>
    </row>
    <row r="15" spans="8:20" x14ac:dyDescent="0.35">
      <c r="I15" s="261"/>
      <c r="J15" s="261"/>
      <c r="K15" s="2601" t="s">
        <v>448</v>
      </c>
      <c r="L15" s="2601"/>
      <c r="M15" s="2601"/>
      <c r="N15" s="2601"/>
      <c r="O15" s="2601"/>
      <c r="P15" s="2601"/>
      <c r="Q15" s="2601"/>
      <c r="R15" s="2601"/>
      <c r="S15" s="2601"/>
      <c r="T15" s="2601"/>
    </row>
    <row r="16" spans="8:20" x14ac:dyDescent="0.25">
      <c r="H16" s="387" t="s">
        <v>617</v>
      </c>
      <c r="I16" s="873"/>
      <c r="K16" s="2651" t="s">
        <v>893</v>
      </c>
      <c r="L16" s="2652"/>
      <c r="M16" s="2652"/>
      <c r="N16" s="2652"/>
      <c r="O16" s="2652"/>
      <c r="P16" s="2652"/>
      <c r="Q16" s="2652"/>
      <c r="R16" s="2652"/>
      <c r="S16" s="2652"/>
      <c r="T16" s="2652"/>
    </row>
    <row r="17" spans="1:20" x14ac:dyDescent="0.35">
      <c r="H17" s="870"/>
      <c r="I17" s="870"/>
      <c r="J17" s="870"/>
      <c r="K17" s="870"/>
      <c r="R17" s="549"/>
    </row>
    <row r="18" spans="1:20" x14ac:dyDescent="0.35">
      <c r="H18" s="870"/>
      <c r="I18" s="870"/>
      <c r="J18" s="870"/>
      <c r="K18" s="870"/>
      <c r="R18" s="549"/>
    </row>
    <row r="19" spans="1:20" hidden="1" x14ac:dyDescent="0.35">
      <c r="H19" s="870"/>
      <c r="I19" s="870"/>
      <c r="K19" s="2601" t="s">
        <v>446</v>
      </c>
      <c r="L19" s="2601"/>
      <c r="M19" s="2601"/>
      <c r="N19" s="2601"/>
      <c r="O19" s="2601"/>
      <c r="P19" s="2601"/>
      <c r="Q19" s="2601"/>
      <c r="R19" s="2601"/>
      <c r="S19" s="2601"/>
      <c r="T19" s="2601"/>
    </row>
    <row r="20" spans="1:20" hidden="1" x14ac:dyDescent="0.35">
      <c r="H20" s="870"/>
      <c r="I20" s="870"/>
      <c r="J20" s="870"/>
      <c r="K20" s="870"/>
      <c r="R20" s="549"/>
    </row>
    <row r="21" spans="1:20" hidden="1" x14ac:dyDescent="0.35">
      <c r="H21" s="870"/>
      <c r="I21" s="870"/>
      <c r="J21" s="870"/>
      <c r="K21" s="2601" t="s">
        <v>842</v>
      </c>
      <c r="L21" s="2601"/>
      <c r="M21" s="2601"/>
      <c r="N21" s="2601"/>
      <c r="O21" s="2601"/>
      <c r="P21" s="2601"/>
      <c r="Q21" s="2601"/>
      <c r="R21" s="2601"/>
      <c r="S21" s="2601"/>
      <c r="T21" s="2601"/>
    </row>
    <row r="22" spans="1:20" hidden="1" x14ac:dyDescent="0.35">
      <c r="J22" s="870"/>
      <c r="K22" s="870"/>
      <c r="L22" s="870"/>
      <c r="R22" s="549"/>
    </row>
    <row r="23" spans="1:20" ht="15" hidden="1" customHeight="1" x14ac:dyDescent="0.35">
      <c r="J23" s="870"/>
      <c r="K23" s="870"/>
      <c r="L23" s="870"/>
      <c r="R23" s="549"/>
    </row>
    <row r="24" spans="1:20" ht="19.5" customHeight="1" x14ac:dyDescent="0.35">
      <c r="R24" s="549"/>
    </row>
    <row r="25" spans="1:20" ht="17.5" x14ac:dyDescent="0.35">
      <c r="A25" s="2352" t="s">
        <v>629</v>
      </c>
      <c r="B25" s="2352"/>
      <c r="C25" s="2352"/>
      <c r="D25" s="2352"/>
      <c r="E25" s="2352"/>
      <c r="F25" s="2352"/>
      <c r="G25" s="2352"/>
      <c r="H25" s="2352"/>
      <c r="I25" s="2352"/>
      <c r="J25" s="2352"/>
      <c r="K25" s="2352"/>
      <c r="L25" s="2352"/>
      <c r="M25" s="2352"/>
      <c r="N25" s="2352"/>
      <c r="O25" s="2352"/>
      <c r="P25" s="2352"/>
      <c r="Q25" s="2352"/>
      <c r="R25" s="2352"/>
      <c r="S25" s="2352"/>
      <c r="T25" s="971"/>
    </row>
    <row r="26" spans="1:20" ht="17.5" customHeight="1" x14ac:dyDescent="0.35">
      <c r="A26" s="2352" t="s">
        <v>793</v>
      </c>
      <c r="B26" s="2352"/>
      <c r="C26" s="2352"/>
      <c r="D26" s="2352"/>
      <c r="E26" s="2352"/>
      <c r="F26" s="2352"/>
      <c r="G26" s="2352"/>
      <c r="H26" s="2352"/>
      <c r="I26" s="2352"/>
      <c r="J26" s="2352"/>
      <c r="K26" s="2352"/>
      <c r="L26" s="2352"/>
      <c r="M26" s="2352"/>
      <c r="N26" s="2352"/>
      <c r="O26" s="2352"/>
      <c r="P26" s="2352"/>
      <c r="Q26" s="2352"/>
      <c r="R26" s="2352"/>
      <c r="S26" s="2352"/>
      <c r="T26" s="971"/>
    </row>
    <row r="27" spans="1:20" ht="17.5" hidden="1" x14ac:dyDescent="0.35">
      <c r="A27" s="2352" t="s">
        <v>794</v>
      </c>
      <c r="B27" s="2352"/>
      <c r="C27" s="2352"/>
      <c r="D27" s="2352"/>
      <c r="E27" s="2352"/>
      <c r="F27" s="2352"/>
      <c r="G27" s="2352"/>
      <c r="H27" s="2352"/>
      <c r="I27" s="2352"/>
      <c r="J27" s="2352"/>
      <c r="K27" s="2352"/>
      <c r="L27" s="2352"/>
      <c r="M27" s="1012"/>
      <c r="N27" s="1012"/>
      <c r="O27" s="1012"/>
      <c r="P27" s="1012"/>
      <c r="Q27" s="1013"/>
      <c r="R27" s="1013"/>
      <c r="S27" s="971"/>
      <c r="T27" s="971"/>
    </row>
    <row r="28" spans="1:20" ht="17.5" x14ac:dyDescent="0.35">
      <c r="A28" s="2352" t="s">
        <v>943</v>
      </c>
      <c r="B28" s="2352"/>
      <c r="C28" s="2352"/>
      <c r="D28" s="2352"/>
      <c r="E28" s="2352"/>
      <c r="F28" s="2352"/>
      <c r="G28" s="2352"/>
      <c r="H28" s="2352"/>
      <c r="I28" s="2352"/>
      <c r="J28" s="2352"/>
      <c r="K28" s="2352"/>
      <c r="L28" s="2352"/>
      <c r="M28" s="2352"/>
      <c r="N28" s="2352"/>
      <c r="O28" s="2352"/>
      <c r="P28" s="2352"/>
      <c r="Q28" s="2352"/>
      <c r="R28" s="2352"/>
      <c r="S28" s="2352"/>
      <c r="T28" s="971"/>
    </row>
    <row r="29" spans="1:20" ht="15" customHeight="1" thickBot="1" x14ac:dyDescent="0.4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2461" t="s">
        <v>631</v>
      </c>
      <c r="T29" s="2461"/>
    </row>
    <row r="30" spans="1:20" ht="15" x14ac:dyDescent="0.3">
      <c r="A30" s="2407" t="s">
        <v>632</v>
      </c>
      <c r="B30" s="2408"/>
      <c r="C30" s="2409"/>
      <c r="D30" s="2479" t="s">
        <v>633</v>
      </c>
      <c r="E30" s="2480"/>
      <c r="F30" s="2480"/>
      <c r="G30" s="2480"/>
      <c r="H30" s="2480"/>
      <c r="I30" s="2480"/>
      <c r="J30" s="2481"/>
      <c r="K30" s="2479" t="s">
        <v>843</v>
      </c>
      <c r="L30" s="2481"/>
      <c r="M30" s="2653" t="s">
        <v>635</v>
      </c>
      <c r="N30" s="2655" t="s">
        <v>636</v>
      </c>
      <c r="O30" s="2655" t="s">
        <v>637</v>
      </c>
      <c r="P30" s="2653" t="s">
        <v>638</v>
      </c>
      <c r="Q30" s="2657" t="s">
        <v>639</v>
      </c>
      <c r="R30" s="2479" t="s">
        <v>894</v>
      </c>
      <c r="S30" s="2481"/>
      <c r="T30" s="2467" t="s">
        <v>640</v>
      </c>
    </row>
    <row r="31" spans="1:20" thickBot="1" x14ac:dyDescent="0.35">
      <c r="A31" s="2410" t="s">
        <v>641</v>
      </c>
      <c r="B31" s="2411"/>
      <c r="C31" s="2412"/>
      <c r="D31" s="2482"/>
      <c r="E31" s="2483"/>
      <c r="F31" s="2483"/>
      <c r="G31" s="2483"/>
      <c r="H31" s="2483"/>
      <c r="I31" s="2483"/>
      <c r="J31" s="2484"/>
      <c r="K31" s="2482"/>
      <c r="L31" s="2484"/>
      <c r="M31" s="2654"/>
      <c r="N31" s="2656"/>
      <c r="O31" s="2656"/>
      <c r="P31" s="2654"/>
      <c r="Q31" s="2658"/>
      <c r="R31" s="2482"/>
      <c r="S31" s="2484"/>
      <c r="T31" s="2469"/>
    </row>
    <row r="32" spans="1:20" ht="15.65" customHeight="1" x14ac:dyDescent="0.3">
      <c r="A32" s="2407" t="s">
        <v>642</v>
      </c>
      <c r="B32" s="2408"/>
      <c r="C32" s="2409"/>
      <c r="D32" s="2583" t="s">
        <v>643</v>
      </c>
      <c r="E32" s="2584"/>
      <c r="F32" s="2584"/>
      <c r="G32" s="2584"/>
      <c r="H32" s="2584"/>
      <c r="I32" s="2584"/>
      <c r="J32" s="2585"/>
      <c r="K32" s="2605">
        <f>K34+K45+K51+K57+K76+K82+K98+K41+K38+K94</f>
        <v>78243.179999999993</v>
      </c>
      <c r="L32" s="2606"/>
      <c r="M32" s="2604">
        <v>17235.358</v>
      </c>
      <c r="N32" s="2604"/>
      <c r="O32" s="2604"/>
      <c r="P32" s="2604">
        <f>P34+P45+P51+P57+P76+P82+P98</f>
        <v>21212.394</v>
      </c>
      <c r="Q32" s="2604">
        <v>20829</v>
      </c>
      <c r="R32" s="2605">
        <f>R34+R45+R51+R57+R76+R82+R98+R41+R38+R94</f>
        <v>82838.281000000017</v>
      </c>
      <c r="S32" s="2606"/>
      <c r="T32" s="971"/>
    </row>
    <row r="33" spans="1:24" ht="13.9" customHeight="1" thickBot="1" x14ac:dyDescent="0.35">
      <c r="A33" s="2410"/>
      <c r="B33" s="2411"/>
      <c r="C33" s="2412"/>
      <c r="D33" s="2586"/>
      <c r="E33" s="2587"/>
      <c r="F33" s="2587"/>
      <c r="G33" s="2587"/>
      <c r="H33" s="2587"/>
      <c r="I33" s="2587"/>
      <c r="J33" s="2588"/>
      <c r="K33" s="2607"/>
      <c r="L33" s="2608"/>
      <c r="M33" s="2604"/>
      <c r="N33" s="2604"/>
      <c r="O33" s="2604"/>
      <c r="P33" s="2604"/>
      <c r="Q33" s="2604"/>
      <c r="R33" s="2607"/>
      <c r="S33" s="2608"/>
      <c r="T33" s="971"/>
    </row>
    <row r="34" spans="1:24" ht="15" x14ac:dyDescent="0.3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2605">
        <f>K36</f>
        <v>30570.5</v>
      </c>
      <c r="L34" s="2606"/>
      <c r="M34" s="2604">
        <v>4523.7</v>
      </c>
      <c r="N34" s="2604"/>
      <c r="O34" s="2604"/>
      <c r="P34" s="2604">
        <f>P36</f>
        <v>5592.7</v>
      </c>
      <c r="Q34" s="2641">
        <v>4938.4639999999999</v>
      </c>
      <c r="R34" s="2605">
        <f>R36</f>
        <v>32404.7</v>
      </c>
      <c r="S34" s="2606"/>
      <c r="T34" s="971"/>
    </row>
    <row r="35" spans="1:24" ht="16.149999999999999" customHeight="1" thickBot="1" x14ac:dyDescent="0.35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2607"/>
      <c r="L35" s="2608"/>
      <c r="M35" s="2604"/>
      <c r="N35" s="2604"/>
      <c r="O35" s="2604"/>
      <c r="P35" s="2604"/>
      <c r="Q35" s="2641"/>
      <c r="R35" s="2607"/>
      <c r="S35" s="2608"/>
      <c r="T35" s="971"/>
      <c r="X35" s="874" t="s">
        <v>106</v>
      </c>
    </row>
    <row r="36" spans="1:24" ht="13.9" customHeight="1" x14ac:dyDescent="0.35">
      <c r="A36" s="2457" t="s">
        <v>647</v>
      </c>
      <c r="B36" s="2458"/>
      <c r="C36" s="2459"/>
      <c r="D36" s="982"/>
      <c r="E36" s="983"/>
      <c r="F36" s="983"/>
      <c r="G36" s="983"/>
      <c r="H36" s="983"/>
      <c r="I36" s="983"/>
      <c r="J36" s="984"/>
      <c r="K36" s="2620">
        <v>30570.5</v>
      </c>
      <c r="L36" s="2621"/>
      <c r="M36" s="2604">
        <v>4523.7</v>
      </c>
      <c r="N36" s="2604">
        <v>534.5</v>
      </c>
      <c r="O36" s="2604">
        <v>534.5</v>
      </c>
      <c r="P36" s="2604">
        <f>M36+N36+O36</f>
        <v>5592.7</v>
      </c>
      <c r="Q36" s="2641">
        <v>4938.4639999999999</v>
      </c>
      <c r="R36" s="2620">
        <v>32404.7</v>
      </c>
      <c r="S36" s="2621"/>
      <c r="T36" s="971"/>
    </row>
    <row r="37" spans="1:24" ht="16.149999999999999" customHeight="1" thickBot="1" x14ac:dyDescent="0.4">
      <c r="A37" s="2460"/>
      <c r="B37" s="2461"/>
      <c r="C37" s="2462"/>
      <c r="D37" s="985" t="s">
        <v>648</v>
      </c>
      <c r="E37" s="986"/>
      <c r="F37" s="986"/>
      <c r="G37" s="986"/>
      <c r="H37" s="986"/>
      <c r="I37" s="986"/>
      <c r="J37" s="987"/>
      <c r="K37" s="2626"/>
      <c r="L37" s="2627"/>
      <c r="M37" s="2604"/>
      <c r="N37" s="2604"/>
      <c r="O37" s="2604"/>
      <c r="P37" s="2604"/>
      <c r="Q37" s="2641"/>
      <c r="R37" s="2626"/>
      <c r="S37" s="2627"/>
      <c r="T37" s="971"/>
    </row>
    <row r="38" spans="1:24" ht="15.65" customHeight="1" x14ac:dyDescent="0.3">
      <c r="A38" s="2479" t="s">
        <v>649</v>
      </c>
      <c r="B38" s="2480"/>
      <c r="C38" s="2481"/>
      <c r="D38" s="2645" t="s">
        <v>650</v>
      </c>
      <c r="E38" s="2646"/>
      <c r="F38" s="2646"/>
      <c r="G38" s="2646"/>
      <c r="H38" s="2646"/>
      <c r="I38" s="2646"/>
      <c r="J38" s="2647"/>
      <c r="K38" s="2605">
        <f>K40</f>
        <v>822</v>
      </c>
      <c r="L38" s="2606"/>
      <c r="M38" s="2604">
        <v>9794</v>
      </c>
      <c r="N38" s="2604"/>
      <c r="O38" s="2604"/>
      <c r="P38" s="2604" t="e">
        <f>#REF!+P41+P42</f>
        <v>#REF!</v>
      </c>
      <c r="Q38" s="2641">
        <v>12087.288329999999</v>
      </c>
      <c r="R38" s="2605">
        <f>R40</f>
        <v>822</v>
      </c>
      <c r="S38" s="2606"/>
      <c r="T38" s="971"/>
    </row>
    <row r="39" spans="1:24" ht="16.149999999999999" customHeight="1" thickBot="1" x14ac:dyDescent="0.35">
      <c r="A39" s="2482"/>
      <c r="B39" s="2483"/>
      <c r="C39" s="2484"/>
      <c r="D39" s="2648"/>
      <c r="E39" s="2649"/>
      <c r="F39" s="2649"/>
      <c r="G39" s="2649"/>
      <c r="H39" s="2649"/>
      <c r="I39" s="2649"/>
      <c r="J39" s="2650"/>
      <c r="K39" s="2607"/>
      <c r="L39" s="2608"/>
      <c r="M39" s="2604"/>
      <c r="N39" s="2604"/>
      <c r="O39" s="2604"/>
      <c r="P39" s="2604"/>
      <c r="Q39" s="2641"/>
      <c r="R39" s="2607"/>
      <c r="S39" s="2608"/>
      <c r="T39" s="971"/>
    </row>
    <row r="40" spans="1:24" ht="31.15" customHeight="1" thickBot="1" x14ac:dyDescent="0.4">
      <c r="A40" s="2570" t="s">
        <v>651</v>
      </c>
      <c r="B40" s="2571"/>
      <c r="C40" s="2572"/>
      <c r="D40" s="2642" t="s">
        <v>652</v>
      </c>
      <c r="E40" s="2643"/>
      <c r="F40" s="2643"/>
      <c r="G40" s="2643"/>
      <c r="H40" s="2643"/>
      <c r="I40" s="2643"/>
      <c r="J40" s="2644"/>
      <c r="K40" s="2609">
        <v>822</v>
      </c>
      <c r="L40" s="2610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2609">
        <v>822</v>
      </c>
      <c r="S40" s="2610"/>
      <c r="T40" s="971"/>
    </row>
    <row r="41" spans="1:24" ht="15.65" customHeight="1" x14ac:dyDescent="0.3">
      <c r="A41" s="2479" t="s">
        <v>653</v>
      </c>
      <c r="B41" s="2480"/>
      <c r="C41" s="2481"/>
      <c r="D41" s="2485" t="s">
        <v>654</v>
      </c>
      <c r="E41" s="2486"/>
      <c r="F41" s="2486"/>
      <c r="G41" s="2486"/>
      <c r="H41" s="2486"/>
      <c r="I41" s="2486"/>
      <c r="J41" s="2487"/>
      <c r="K41" s="2605">
        <f>K44</f>
        <v>76</v>
      </c>
      <c r="L41" s="2606"/>
      <c r="M41" s="2604">
        <v>9794</v>
      </c>
      <c r="N41" s="2604"/>
      <c r="O41" s="2604"/>
      <c r="P41" s="2604">
        <f>P44+P45+P46</f>
        <v>11948</v>
      </c>
      <c r="Q41" s="2641">
        <v>12087.288329999999</v>
      </c>
      <c r="R41" s="2605">
        <f>R44</f>
        <v>80.599999999999994</v>
      </c>
      <c r="S41" s="2606"/>
      <c r="T41" s="971"/>
    </row>
    <row r="42" spans="1:24" ht="16.149999999999999" customHeight="1" thickBot="1" x14ac:dyDescent="0.35">
      <c r="A42" s="2482"/>
      <c r="B42" s="2483"/>
      <c r="C42" s="2484"/>
      <c r="D42" s="2488"/>
      <c r="E42" s="2489"/>
      <c r="F42" s="2489"/>
      <c r="G42" s="2489"/>
      <c r="H42" s="2489"/>
      <c r="I42" s="2489"/>
      <c r="J42" s="2490"/>
      <c r="K42" s="2607"/>
      <c r="L42" s="2608"/>
      <c r="M42" s="2604"/>
      <c r="N42" s="2604"/>
      <c r="O42" s="2604"/>
      <c r="P42" s="2604"/>
      <c r="Q42" s="2641"/>
      <c r="R42" s="2607"/>
      <c r="S42" s="2608"/>
      <c r="T42" s="971"/>
    </row>
    <row r="43" spans="1:24" ht="16.149999999999999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" thickBot="1" x14ac:dyDescent="0.4">
      <c r="A44" s="2555" t="s">
        <v>655</v>
      </c>
      <c r="B44" s="2556"/>
      <c r="C44" s="2557"/>
      <c r="D44" s="2567" t="s">
        <v>656</v>
      </c>
      <c r="E44" s="2568"/>
      <c r="F44" s="2568"/>
      <c r="G44" s="2568"/>
      <c r="H44" s="2568"/>
      <c r="I44" s="2568"/>
      <c r="J44" s="2569"/>
      <c r="K44" s="2609">
        <v>76</v>
      </c>
      <c r="L44" s="2610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2609">
        <v>80.599999999999994</v>
      </c>
      <c r="S44" s="2610"/>
      <c r="T44" s="971"/>
    </row>
    <row r="45" spans="1:24" ht="15.65" customHeight="1" x14ac:dyDescent="0.3">
      <c r="A45" s="2479" t="s">
        <v>657</v>
      </c>
      <c r="B45" s="2480"/>
      <c r="C45" s="2481"/>
      <c r="D45" s="2485" t="s">
        <v>658</v>
      </c>
      <c r="E45" s="2486"/>
      <c r="F45" s="2486"/>
      <c r="G45" s="2486"/>
      <c r="H45" s="2486"/>
      <c r="I45" s="2486"/>
      <c r="J45" s="2487"/>
      <c r="K45" s="2605">
        <f>K48+K50+K49</f>
        <v>44852.9</v>
      </c>
      <c r="L45" s="2606"/>
      <c r="M45" s="2604">
        <v>9794</v>
      </c>
      <c r="N45" s="2604"/>
      <c r="O45" s="2604"/>
      <c r="P45" s="2604">
        <f>P48+P49+P50</f>
        <v>11824</v>
      </c>
      <c r="Q45" s="2641">
        <v>12087.288329999999</v>
      </c>
      <c r="R45" s="2605">
        <f>R48+R50+R49</f>
        <v>47544.1</v>
      </c>
      <c r="S45" s="2606"/>
      <c r="T45" s="971"/>
    </row>
    <row r="46" spans="1:24" ht="16.149999999999999" customHeight="1" thickBot="1" x14ac:dyDescent="0.35">
      <c r="A46" s="2482"/>
      <c r="B46" s="2483"/>
      <c r="C46" s="2484"/>
      <c r="D46" s="2488"/>
      <c r="E46" s="2489"/>
      <c r="F46" s="2489"/>
      <c r="G46" s="2489"/>
      <c r="H46" s="2489"/>
      <c r="I46" s="2489"/>
      <c r="J46" s="2490"/>
      <c r="K46" s="2607"/>
      <c r="L46" s="2608"/>
      <c r="M46" s="2604"/>
      <c r="N46" s="2604"/>
      <c r="O46" s="2604"/>
      <c r="P46" s="2604"/>
      <c r="Q46" s="2641"/>
      <c r="R46" s="2607"/>
      <c r="S46" s="2608"/>
      <c r="T46" s="971"/>
    </row>
    <row r="47" spans="1:24" ht="16.149999999999999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5" customHeight="1" thickBot="1" x14ac:dyDescent="0.4">
      <c r="A48" s="2555" t="s">
        <v>659</v>
      </c>
      <c r="B48" s="2556"/>
      <c r="C48" s="2557"/>
      <c r="D48" s="972" t="s">
        <v>660</v>
      </c>
      <c r="E48" s="975"/>
      <c r="F48" s="975"/>
      <c r="G48" s="975"/>
      <c r="H48" s="975"/>
      <c r="I48" s="975"/>
      <c r="J48" s="974"/>
      <c r="K48" s="2609">
        <v>7392.9</v>
      </c>
      <c r="L48" s="2610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2609">
        <v>7836.5</v>
      </c>
      <c r="S48" s="2610"/>
      <c r="T48" s="971"/>
    </row>
    <row r="49" spans="1:20" ht="15.65" hidden="1" customHeight="1" thickBot="1" x14ac:dyDescent="0.4">
      <c r="A49" s="2555" t="s">
        <v>661</v>
      </c>
      <c r="B49" s="2556"/>
      <c r="C49" s="2557"/>
      <c r="D49" s="996" t="s">
        <v>662</v>
      </c>
      <c r="E49" s="997"/>
      <c r="F49" s="997"/>
      <c r="G49" s="997"/>
      <c r="H49" s="997"/>
      <c r="I49" s="997"/>
      <c r="J49" s="998"/>
      <c r="K49" s="2609"/>
      <c r="L49" s="2610"/>
      <c r="M49" s="1015"/>
      <c r="N49" s="1015"/>
      <c r="O49" s="1015"/>
      <c r="P49" s="1015"/>
      <c r="Q49" s="1016"/>
      <c r="R49" s="2609"/>
      <c r="S49" s="2610"/>
      <c r="T49" s="971"/>
    </row>
    <row r="50" spans="1:20" ht="16" thickBot="1" x14ac:dyDescent="0.4">
      <c r="A50" s="2555" t="s">
        <v>663</v>
      </c>
      <c r="B50" s="2556"/>
      <c r="C50" s="2557"/>
      <c r="D50" s="972" t="s">
        <v>664</v>
      </c>
      <c r="E50" s="975"/>
      <c r="F50" s="975"/>
      <c r="G50" s="975"/>
      <c r="H50" s="975"/>
      <c r="I50" s="975"/>
      <c r="J50" s="974"/>
      <c r="K50" s="2609">
        <v>37460</v>
      </c>
      <c r="L50" s="2610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2609">
        <v>39707.599999999999</v>
      </c>
      <c r="S50" s="2610"/>
      <c r="T50" s="971"/>
    </row>
    <row r="51" spans="1:20" ht="15.65" customHeight="1" x14ac:dyDescent="0.3">
      <c r="A51" s="2479" t="s">
        <v>665</v>
      </c>
      <c r="B51" s="2480"/>
      <c r="C51" s="2481"/>
      <c r="D51" s="2485" t="s">
        <v>666</v>
      </c>
      <c r="E51" s="2486"/>
      <c r="F51" s="2486"/>
      <c r="G51" s="2486"/>
      <c r="H51" s="2486"/>
      <c r="I51" s="2486"/>
      <c r="J51" s="2487"/>
      <c r="K51" s="2605">
        <f>K53</f>
        <v>6</v>
      </c>
      <c r="L51" s="2606"/>
      <c r="M51" s="2604">
        <v>17</v>
      </c>
      <c r="N51" s="2604"/>
      <c r="O51" s="2604"/>
      <c r="P51" s="2604">
        <f>M51+N51+O51</f>
        <v>17</v>
      </c>
      <c r="Q51" s="2604">
        <v>3.9649999999999999</v>
      </c>
      <c r="R51" s="2605">
        <f>R53</f>
        <v>7</v>
      </c>
      <c r="S51" s="2606"/>
      <c r="T51" s="971"/>
    </row>
    <row r="52" spans="1:20" ht="13.9" customHeight="1" thickBot="1" x14ac:dyDescent="0.35">
      <c r="A52" s="2482"/>
      <c r="B52" s="2483"/>
      <c r="C52" s="2484"/>
      <c r="D52" s="2488"/>
      <c r="E52" s="2489"/>
      <c r="F52" s="2489"/>
      <c r="G52" s="2489"/>
      <c r="H52" s="2489"/>
      <c r="I52" s="2489"/>
      <c r="J52" s="2490"/>
      <c r="K52" s="2607"/>
      <c r="L52" s="2608"/>
      <c r="M52" s="2604"/>
      <c r="N52" s="2604"/>
      <c r="O52" s="2604"/>
      <c r="P52" s="2604"/>
      <c r="Q52" s="2604"/>
      <c r="R52" s="2607"/>
      <c r="S52" s="2608"/>
      <c r="T52" s="971"/>
    </row>
    <row r="53" spans="1:20" x14ac:dyDescent="0.35">
      <c r="A53" s="2467" t="s">
        <v>667</v>
      </c>
      <c r="B53" s="2468"/>
      <c r="C53" s="2353"/>
      <c r="D53" s="982" t="s">
        <v>668</v>
      </c>
      <c r="E53" s="983"/>
      <c r="F53" s="983"/>
      <c r="G53" s="983"/>
      <c r="H53" s="983"/>
      <c r="I53" s="983"/>
      <c r="J53" s="983"/>
      <c r="K53" s="2620">
        <v>6</v>
      </c>
      <c r="L53" s="2621"/>
      <c r="M53" s="2604">
        <v>17</v>
      </c>
      <c r="N53" s="2604"/>
      <c r="O53" s="2604"/>
      <c r="P53" s="2604">
        <f>M53+N53+O53</f>
        <v>17</v>
      </c>
      <c r="Q53" s="2604">
        <v>3.9649999999999999</v>
      </c>
      <c r="R53" s="2620">
        <v>7</v>
      </c>
      <c r="S53" s="2621"/>
      <c r="T53" s="971"/>
    </row>
    <row r="54" spans="1:20" x14ac:dyDescent="0.35">
      <c r="A54" s="2492"/>
      <c r="B54" s="2493"/>
      <c r="C54" s="2494"/>
      <c r="D54" s="996" t="s">
        <v>669</v>
      </c>
      <c r="E54" s="997"/>
      <c r="F54" s="997"/>
      <c r="G54" s="997"/>
      <c r="H54" s="997"/>
      <c r="I54" s="997"/>
      <c r="J54" s="997"/>
      <c r="K54" s="2624"/>
      <c r="L54" s="2625"/>
      <c r="M54" s="2604"/>
      <c r="N54" s="2604"/>
      <c r="O54" s="2604"/>
      <c r="P54" s="2604"/>
      <c r="Q54" s="2604"/>
      <c r="R54" s="2624"/>
      <c r="S54" s="2625"/>
      <c r="T54" s="971"/>
    </row>
    <row r="55" spans="1:20" x14ac:dyDescent="0.35">
      <c r="A55" s="2492"/>
      <c r="B55" s="2493"/>
      <c r="C55" s="2494"/>
      <c r="D55" s="996" t="s">
        <v>670</v>
      </c>
      <c r="E55" s="997"/>
      <c r="F55" s="997"/>
      <c r="G55" s="997"/>
      <c r="H55" s="997"/>
      <c r="I55" s="997"/>
      <c r="J55" s="997"/>
      <c r="K55" s="2624"/>
      <c r="L55" s="2625"/>
      <c r="M55" s="2604"/>
      <c r="N55" s="2604"/>
      <c r="O55" s="2604"/>
      <c r="P55" s="2604"/>
      <c r="Q55" s="2604"/>
      <c r="R55" s="2624"/>
      <c r="S55" s="2625"/>
      <c r="T55" s="971"/>
    </row>
    <row r="56" spans="1:20" ht="16" thickBot="1" x14ac:dyDescent="0.4">
      <c r="A56" s="2469"/>
      <c r="B56" s="2470"/>
      <c r="C56" s="2354"/>
      <c r="D56" s="985" t="s">
        <v>671</v>
      </c>
      <c r="E56" s="986"/>
      <c r="F56" s="986"/>
      <c r="G56" s="986"/>
      <c r="H56" s="986"/>
      <c r="I56" s="986"/>
      <c r="J56" s="986"/>
      <c r="K56" s="2626"/>
      <c r="L56" s="2627"/>
      <c r="M56" s="2604"/>
      <c r="N56" s="2604"/>
      <c r="O56" s="2604"/>
      <c r="P56" s="2604"/>
      <c r="Q56" s="2604"/>
      <c r="R56" s="2626"/>
      <c r="S56" s="2627"/>
      <c r="T56" s="971"/>
    </row>
    <row r="57" spans="1:20" ht="15" x14ac:dyDescent="0.3">
      <c r="A57" s="2479" t="s">
        <v>672</v>
      </c>
      <c r="B57" s="2480"/>
      <c r="C57" s="2481"/>
      <c r="D57" s="976" t="s">
        <v>673</v>
      </c>
      <c r="E57" s="977"/>
      <c r="F57" s="977"/>
      <c r="G57" s="977"/>
      <c r="H57" s="977"/>
      <c r="I57" s="977"/>
      <c r="J57" s="978"/>
      <c r="K57" s="2605">
        <f>K60+K64+K72+K68</f>
        <v>1842.78</v>
      </c>
      <c r="L57" s="2606"/>
      <c r="M57" s="2604">
        <v>2183.6579999999999</v>
      </c>
      <c r="N57" s="2604"/>
      <c r="O57" s="2604"/>
      <c r="P57" s="2604">
        <f>P60+P64+P72</f>
        <v>2913.6940000000004</v>
      </c>
      <c r="Q57" s="2604">
        <v>2859.2967100000001</v>
      </c>
      <c r="R57" s="2605">
        <f>R60+R64+R72+R68</f>
        <v>1903.681</v>
      </c>
      <c r="S57" s="2606"/>
      <c r="T57" s="971"/>
    </row>
    <row r="58" spans="1:20" ht="15" x14ac:dyDescent="0.3">
      <c r="A58" s="2531"/>
      <c r="B58" s="2532"/>
      <c r="C58" s="2533"/>
      <c r="D58" s="999" t="s">
        <v>674</v>
      </c>
      <c r="E58" s="1000"/>
      <c r="F58" s="1000"/>
      <c r="G58" s="1000"/>
      <c r="H58" s="1000"/>
      <c r="I58" s="1000"/>
      <c r="J58" s="1001"/>
      <c r="K58" s="2616"/>
      <c r="L58" s="2617"/>
      <c r="M58" s="2604"/>
      <c r="N58" s="2604"/>
      <c r="O58" s="2604"/>
      <c r="P58" s="2604"/>
      <c r="Q58" s="2604"/>
      <c r="R58" s="2616"/>
      <c r="S58" s="2617"/>
      <c r="T58" s="971"/>
    </row>
    <row r="59" spans="1:20" thickBot="1" x14ac:dyDescent="0.35">
      <c r="A59" s="2482"/>
      <c r="B59" s="2483"/>
      <c r="C59" s="2484"/>
      <c r="D59" s="979" t="s">
        <v>675</v>
      </c>
      <c r="E59" s="980"/>
      <c r="F59" s="980"/>
      <c r="G59" s="980"/>
      <c r="H59" s="980"/>
      <c r="I59" s="980"/>
      <c r="J59" s="981"/>
      <c r="K59" s="2607"/>
      <c r="L59" s="2608"/>
      <c r="M59" s="2604"/>
      <c r="N59" s="2604"/>
      <c r="O59" s="2604"/>
      <c r="P59" s="2604"/>
      <c r="Q59" s="2604"/>
      <c r="R59" s="2607"/>
      <c r="S59" s="2608"/>
      <c r="T59" s="971"/>
    </row>
    <row r="60" spans="1:20" ht="15.65" hidden="1" customHeight="1" thickBot="1" x14ac:dyDescent="0.4">
      <c r="A60" s="2467" t="s">
        <v>676</v>
      </c>
      <c r="B60" s="2468"/>
      <c r="C60" s="2353"/>
      <c r="D60" s="982" t="s">
        <v>677</v>
      </c>
      <c r="E60" s="983"/>
      <c r="F60" s="983"/>
      <c r="G60" s="983"/>
      <c r="H60" s="983"/>
      <c r="I60" s="983"/>
      <c r="J60" s="984"/>
      <c r="K60" s="2620"/>
      <c r="L60" s="2621"/>
      <c r="M60" s="2604">
        <v>1030</v>
      </c>
      <c r="N60" s="2604">
        <v>140</v>
      </c>
      <c r="O60" s="2604">
        <v>140</v>
      </c>
      <c r="P60" s="2604">
        <f>M60+N60+O60</f>
        <v>1310</v>
      </c>
      <c r="Q60" s="2604">
        <v>1430.7293099999999</v>
      </c>
      <c r="R60" s="2620"/>
      <c r="S60" s="2621"/>
      <c r="T60" s="971"/>
    </row>
    <row r="61" spans="1:20" ht="15.65" hidden="1" customHeight="1" thickBot="1" x14ac:dyDescent="0.4">
      <c r="A61" s="2492"/>
      <c r="B61" s="2493"/>
      <c r="C61" s="2494"/>
      <c r="D61" s="996" t="s">
        <v>678</v>
      </c>
      <c r="E61" s="997"/>
      <c r="F61" s="997"/>
      <c r="G61" s="997"/>
      <c r="H61" s="997"/>
      <c r="I61" s="997"/>
      <c r="J61" s="998"/>
      <c r="K61" s="2624"/>
      <c r="L61" s="2625"/>
      <c r="M61" s="2604"/>
      <c r="N61" s="2604"/>
      <c r="O61" s="2604"/>
      <c r="P61" s="2604"/>
      <c r="Q61" s="2604"/>
      <c r="R61" s="2624"/>
      <c r="S61" s="2625"/>
      <c r="T61" s="971"/>
    </row>
    <row r="62" spans="1:20" ht="15.65" hidden="1" customHeight="1" thickBot="1" x14ac:dyDescent="0.4">
      <c r="A62" s="2492"/>
      <c r="B62" s="2493"/>
      <c r="C62" s="2494"/>
      <c r="D62" s="996" t="s">
        <v>679</v>
      </c>
      <c r="E62" s="997"/>
      <c r="F62" s="997"/>
      <c r="G62" s="997"/>
      <c r="H62" s="997"/>
      <c r="I62" s="997"/>
      <c r="J62" s="998"/>
      <c r="K62" s="2624"/>
      <c r="L62" s="2625"/>
      <c r="M62" s="2604"/>
      <c r="N62" s="2604"/>
      <c r="O62" s="2604"/>
      <c r="P62" s="2604"/>
      <c r="Q62" s="2604"/>
      <c r="R62" s="2624"/>
      <c r="S62" s="2625"/>
      <c r="T62" s="971"/>
    </row>
    <row r="63" spans="1:20" ht="15.65" hidden="1" customHeight="1" thickBot="1" x14ac:dyDescent="0.4">
      <c r="A63" s="2469"/>
      <c r="B63" s="2470"/>
      <c r="C63" s="2354"/>
      <c r="D63" s="985" t="s">
        <v>680</v>
      </c>
      <c r="E63" s="986"/>
      <c r="F63" s="986"/>
      <c r="G63" s="986"/>
      <c r="H63" s="986"/>
      <c r="I63" s="986"/>
      <c r="J63" s="987"/>
      <c r="K63" s="2626"/>
      <c r="L63" s="2627"/>
      <c r="M63" s="2604"/>
      <c r="N63" s="2604"/>
      <c r="O63" s="2604"/>
      <c r="P63" s="2604"/>
      <c r="Q63" s="2604"/>
      <c r="R63" s="2626"/>
      <c r="S63" s="2627"/>
      <c r="T63" s="971"/>
    </row>
    <row r="64" spans="1:20" ht="15.65" hidden="1" customHeight="1" thickBot="1" x14ac:dyDescent="0.4">
      <c r="A64" s="2467" t="s">
        <v>681</v>
      </c>
      <c r="B64" s="2468"/>
      <c r="C64" s="2353"/>
      <c r="D64" s="982" t="s">
        <v>682</v>
      </c>
      <c r="E64" s="983"/>
      <c r="F64" s="983"/>
      <c r="G64" s="983"/>
      <c r="H64" s="983"/>
      <c r="I64" s="983"/>
      <c r="J64" s="984"/>
      <c r="K64" s="2620"/>
      <c r="L64" s="2621"/>
      <c r="M64" s="2604">
        <v>928.55</v>
      </c>
      <c r="N64" s="2604">
        <v>200</v>
      </c>
      <c r="O64" s="2604">
        <v>200</v>
      </c>
      <c r="P64" s="2604">
        <f>M64+N64+O64</f>
        <v>1328.55</v>
      </c>
      <c r="Q64" s="2604">
        <v>1007.7294000000001</v>
      </c>
      <c r="R64" s="2620"/>
      <c r="S64" s="2621"/>
      <c r="T64" s="971"/>
    </row>
    <row r="65" spans="1:20" ht="14.25" hidden="1" customHeight="1" x14ac:dyDescent="0.35">
      <c r="A65" s="2492"/>
      <c r="B65" s="2493"/>
      <c r="C65" s="2494"/>
      <c r="D65" s="996" t="s">
        <v>683</v>
      </c>
      <c r="E65" s="997"/>
      <c r="F65" s="997"/>
      <c r="G65" s="997"/>
      <c r="H65" s="997"/>
      <c r="I65" s="997"/>
      <c r="J65" s="998"/>
      <c r="K65" s="2624"/>
      <c r="L65" s="2625"/>
      <c r="M65" s="2604"/>
      <c r="N65" s="2604"/>
      <c r="O65" s="2604"/>
      <c r="P65" s="2604"/>
      <c r="Q65" s="2604"/>
      <c r="R65" s="2624"/>
      <c r="S65" s="2625"/>
      <c r="T65" s="971"/>
    </row>
    <row r="66" spans="1:20" ht="15.75" hidden="1" customHeight="1" x14ac:dyDescent="0.35">
      <c r="A66" s="2492"/>
      <c r="B66" s="2493"/>
      <c r="C66" s="2494"/>
      <c r="D66" s="996" t="s">
        <v>684</v>
      </c>
      <c r="E66" s="997"/>
      <c r="F66" s="997"/>
      <c r="G66" s="997"/>
      <c r="H66" s="997"/>
      <c r="I66" s="997"/>
      <c r="J66" s="998"/>
      <c r="K66" s="2624"/>
      <c r="L66" s="2625"/>
      <c r="M66" s="2604"/>
      <c r="N66" s="2604"/>
      <c r="O66" s="2604"/>
      <c r="P66" s="2604"/>
      <c r="Q66" s="2604"/>
      <c r="R66" s="2624"/>
      <c r="S66" s="2625"/>
      <c r="T66" s="971"/>
    </row>
    <row r="67" spans="1:20" ht="15.75" hidden="1" customHeight="1" thickBot="1" x14ac:dyDescent="0.4">
      <c r="A67" s="2469"/>
      <c r="B67" s="2470"/>
      <c r="C67" s="2354"/>
      <c r="D67" s="985" t="s">
        <v>685</v>
      </c>
      <c r="E67" s="986"/>
      <c r="F67" s="986"/>
      <c r="G67" s="986"/>
      <c r="H67" s="986"/>
      <c r="I67" s="986"/>
      <c r="J67" s="987"/>
      <c r="K67" s="2626"/>
      <c r="L67" s="2627"/>
      <c r="M67" s="2604"/>
      <c r="N67" s="2604"/>
      <c r="O67" s="2604"/>
      <c r="P67" s="2604"/>
      <c r="Q67" s="2604"/>
      <c r="R67" s="2626"/>
      <c r="S67" s="2627"/>
      <c r="T67" s="971"/>
    </row>
    <row r="68" spans="1:20" x14ac:dyDescent="0.35">
      <c r="A68" s="2467" t="s">
        <v>686</v>
      </c>
      <c r="B68" s="2468"/>
      <c r="C68" s="2353"/>
      <c r="D68" s="1002"/>
      <c r="E68" s="997"/>
      <c r="F68" s="997"/>
      <c r="G68" s="997"/>
      <c r="H68" s="997"/>
      <c r="I68" s="997"/>
      <c r="J68" s="998"/>
      <c r="K68" s="2620">
        <v>851.68</v>
      </c>
      <c r="L68" s="2621"/>
      <c r="M68" s="2604">
        <v>928.55</v>
      </c>
      <c r="N68" s="2604">
        <v>200</v>
      </c>
      <c r="O68" s="2604">
        <v>200</v>
      </c>
      <c r="P68" s="2604">
        <f>M68+N68+O68</f>
        <v>1328.55</v>
      </c>
      <c r="Q68" s="2604">
        <v>1007.7294000000001</v>
      </c>
      <c r="R68" s="2620">
        <v>853.08100000000002</v>
      </c>
      <c r="S68" s="2621"/>
      <c r="T68" s="971"/>
    </row>
    <row r="69" spans="1:20" ht="14.25" customHeight="1" x14ac:dyDescent="0.35">
      <c r="A69" s="2492"/>
      <c r="B69" s="2493"/>
      <c r="C69" s="2494"/>
      <c r="D69" s="997" t="s">
        <v>687</v>
      </c>
      <c r="E69" s="997"/>
      <c r="F69" s="997"/>
      <c r="G69" s="997"/>
      <c r="H69" s="997"/>
      <c r="I69" s="997"/>
      <c r="J69" s="998"/>
      <c r="K69" s="2624"/>
      <c r="L69" s="2625"/>
      <c r="M69" s="2604"/>
      <c r="N69" s="2604"/>
      <c r="O69" s="2604"/>
      <c r="P69" s="2604"/>
      <c r="Q69" s="2604"/>
      <c r="R69" s="2624"/>
      <c r="S69" s="2625"/>
      <c r="T69" s="971"/>
    </row>
    <row r="70" spans="1:20" ht="15.75" customHeight="1" x14ac:dyDescent="0.35">
      <c r="A70" s="2492"/>
      <c r="B70" s="2493"/>
      <c r="C70" s="2494"/>
      <c r="D70" s="997" t="s">
        <v>688</v>
      </c>
      <c r="E70" s="997"/>
      <c r="F70" s="997"/>
      <c r="G70" s="997"/>
      <c r="H70" s="997"/>
      <c r="I70" s="997"/>
      <c r="J70" s="998"/>
      <c r="K70" s="2624"/>
      <c r="L70" s="2625"/>
      <c r="M70" s="2604"/>
      <c r="N70" s="2604"/>
      <c r="O70" s="2604"/>
      <c r="P70" s="2604"/>
      <c r="Q70" s="2604"/>
      <c r="R70" s="2624"/>
      <c r="S70" s="2625"/>
      <c r="T70" s="971"/>
    </row>
    <row r="71" spans="1:20" ht="15.75" customHeight="1" thickBot="1" x14ac:dyDescent="0.4">
      <c r="A71" s="2469"/>
      <c r="B71" s="2470"/>
      <c r="C71" s="2354"/>
      <c r="D71" s="986"/>
      <c r="E71" s="986"/>
      <c r="F71" s="986"/>
      <c r="G71" s="986"/>
      <c r="H71" s="986"/>
      <c r="I71" s="986"/>
      <c r="J71" s="987"/>
      <c r="K71" s="2626"/>
      <c r="L71" s="2627"/>
      <c r="M71" s="2604"/>
      <c r="N71" s="2604"/>
      <c r="O71" s="2604"/>
      <c r="P71" s="2604"/>
      <c r="Q71" s="2604"/>
      <c r="R71" s="2626"/>
      <c r="S71" s="2627"/>
      <c r="T71" s="971"/>
    </row>
    <row r="72" spans="1:20" ht="15" customHeight="1" x14ac:dyDescent="0.35">
      <c r="A72" s="2467" t="s">
        <v>689</v>
      </c>
      <c r="B72" s="2468"/>
      <c r="C72" s="2353"/>
      <c r="D72" s="982" t="s">
        <v>690</v>
      </c>
      <c r="E72" s="983"/>
      <c r="F72" s="983"/>
      <c r="G72" s="983"/>
      <c r="H72" s="983"/>
      <c r="I72" s="983"/>
      <c r="J72" s="984"/>
      <c r="K72" s="2620">
        <v>991.1</v>
      </c>
      <c r="L72" s="2621"/>
      <c r="M72" s="2637">
        <v>225.108</v>
      </c>
      <c r="N72" s="2611">
        <f>24.9+0.118</f>
        <v>25.017999999999997</v>
      </c>
      <c r="O72" s="2611">
        <v>25.018000000000001</v>
      </c>
      <c r="P72" s="2611">
        <f>M72+N72+O72</f>
        <v>275.14400000000001</v>
      </c>
      <c r="Q72" s="2611">
        <v>420.83800000000002</v>
      </c>
      <c r="R72" s="2620">
        <v>1050.5999999999999</v>
      </c>
      <c r="S72" s="2621"/>
      <c r="T72" s="971"/>
    </row>
    <row r="73" spans="1:20" ht="13.15" customHeight="1" x14ac:dyDescent="0.35">
      <c r="A73" s="2492"/>
      <c r="B73" s="2493"/>
      <c r="C73" s="2494"/>
      <c r="D73" s="996" t="s">
        <v>691</v>
      </c>
      <c r="E73" s="997"/>
      <c r="F73" s="997"/>
      <c r="G73" s="997"/>
      <c r="H73" s="997"/>
      <c r="I73" s="997"/>
      <c r="J73" s="998"/>
      <c r="K73" s="2624"/>
      <c r="L73" s="2625"/>
      <c r="M73" s="2638"/>
      <c r="N73" s="2640"/>
      <c r="O73" s="2640"/>
      <c r="P73" s="2640"/>
      <c r="Q73" s="2640"/>
      <c r="R73" s="2624"/>
      <c r="S73" s="2625"/>
      <c r="T73" s="971"/>
    </row>
    <row r="74" spans="1:20" ht="13.15" customHeight="1" x14ac:dyDescent="0.35">
      <c r="A74" s="2492"/>
      <c r="B74" s="2493"/>
      <c r="C74" s="2494"/>
      <c r="D74" s="996" t="s">
        <v>692</v>
      </c>
      <c r="E74" s="997"/>
      <c r="F74" s="997"/>
      <c r="G74" s="997"/>
      <c r="H74" s="997"/>
      <c r="I74" s="997"/>
      <c r="J74" s="998"/>
      <c r="K74" s="2624"/>
      <c r="L74" s="2625"/>
      <c r="M74" s="2638"/>
      <c r="N74" s="2640"/>
      <c r="O74" s="2640"/>
      <c r="P74" s="2640"/>
      <c r="Q74" s="2640"/>
      <c r="R74" s="2624"/>
      <c r="S74" s="2625"/>
      <c r="T74" s="971"/>
    </row>
    <row r="75" spans="1:20" ht="12.75" customHeight="1" thickBot="1" x14ac:dyDescent="0.4">
      <c r="A75" s="2469"/>
      <c r="B75" s="2470"/>
      <c r="C75" s="2354"/>
      <c r="D75" s="985" t="s">
        <v>693</v>
      </c>
      <c r="E75" s="986"/>
      <c r="F75" s="986"/>
      <c r="G75" s="986"/>
      <c r="H75" s="986"/>
      <c r="I75" s="986"/>
      <c r="J75" s="987"/>
      <c r="K75" s="2626"/>
      <c r="L75" s="2627"/>
      <c r="M75" s="2639"/>
      <c r="N75" s="2612"/>
      <c r="O75" s="2612"/>
      <c r="P75" s="2612"/>
      <c r="Q75" s="2612"/>
      <c r="R75" s="2626"/>
      <c r="S75" s="2627"/>
      <c r="T75" s="971"/>
    </row>
    <row r="76" spans="1:20" ht="15" x14ac:dyDescent="0.3">
      <c r="A76" s="2479" t="s">
        <v>694</v>
      </c>
      <c r="B76" s="2480"/>
      <c r="C76" s="2481"/>
      <c r="D76" s="976" t="s">
        <v>887</v>
      </c>
      <c r="E76" s="977"/>
      <c r="F76" s="977"/>
      <c r="G76" s="977"/>
      <c r="H76" s="977"/>
      <c r="I76" s="977"/>
      <c r="J76" s="978"/>
      <c r="K76" s="2605">
        <f>K78+K81</f>
        <v>26.5</v>
      </c>
      <c r="L76" s="2606"/>
      <c r="M76" s="2604">
        <v>97</v>
      </c>
      <c r="N76" s="2604"/>
      <c r="O76" s="2604"/>
      <c r="P76" s="2604">
        <f>P78+P81</f>
        <v>125</v>
      </c>
      <c r="Q76" s="2604">
        <v>435.29176000000001</v>
      </c>
      <c r="R76" s="2605">
        <f>R78+R81</f>
        <v>28.1</v>
      </c>
      <c r="S76" s="2606"/>
      <c r="T76" s="971"/>
    </row>
    <row r="77" spans="1:20" thickBot="1" x14ac:dyDescent="0.35">
      <c r="A77" s="2482"/>
      <c r="B77" s="2483"/>
      <c r="C77" s="2484"/>
      <c r="D77" s="979" t="s">
        <v>695</v>
      </c>
      <c r="E77" s="980"/>
      <c r="F77" s="980"/>
      <c r="G77" s="980"/>
      <c r="H77" s="980"/>
      <c r="I77" s="980"/>
      <c r="J77" s="981"/>
      <c r="K77" s="2607"/>
      <c r="L77" s="2608"/>
      <c r="M77" s="2604"/>
      <c r="N77" s="2604"/>
      <c r="O77" s="2604"/>
      <c r="P77" s="2604"/>
      <c r="Q77" s="2604"/>
      <c r="R77" s="2607"/>
      <c r="S77" s="2608"/>
      <c r="T77" s="971"/>
    </row>
    <row r="78" spans="1:20" ht="15" hidden="1" customHeight="1" x14ac:dyDescent="0.35">
      <c r="A78" s="2467" t="s">
        <v>696</v>
      </c>
      <c r="B78" s="2468"/>
      <c r="C78" s="2353"/>
      <c r="D78" s="982" t="s">
        <v>697</v>
      </c>
      <c r="E78" s="983"/>
      <c r="F78" s="983"/>
      <c r="G78" s="983"/>
      <c r="H78" s="983"/>
      <c r="I78" s="983"/>
      <c r="J78" s="984"/>
      <c r="K78" s="2620"/>
      <c r="L78" s="2632"/>
      <c r="M78" s="2604">
        <v>69</v>
      </c>
      <c r="N78" s="2604">
        <v>7</v>
      </c>
      <c r="O78" s="2604">
        <v>7</v>
      </c>
      <c r="P78" s="2604">
        <f>M78+N78+O78</f>
        <v>83</v>
      </c>
      <c r="Q78" s="2604">
        <v>0.5</v>
      </c>
      <c r="R78" s="2620"/>
      <c r="S78" s="2632"/>
      <c r="T78" s="971"/>
    </row>
    <row r="79" spans="1:20" ht="15" hidden="1" customHeight="1" x14ac:dyDescent="0.35">
      <c r="A79" s="2492"/>
      <c r="B79" s="2493"/>
      <c r="C79" s="2494"/>
      <c r="D79" s="996" t="s">
        <v>698</v>
      </c>
      <c r="E79" s="997"/>
      <c r="F79" s="997"/>
      <c r="G79" s="997"/>
      <c r="H79" s="997"/>
      <c r="I79" s="997"/>
      <c r="J79" s="998"/>
      <c r="K79" s="2633"/>
      <c r="L79" s="2634"/>
      <c r="M79" s="2604"/>
      <c r="N79" s="2604"/>
      <c r="O79" s="2604"/>
      <c r="P79" s="2604"/>
      <c r="Q79" s="2604"/>
      <c r="R79" s="2633"/>
      <c r="S79" s="2634"/>
      <c r="T79" s="971"/>
    </row>
    <row r="80" spans="1:20" ht="7.15" hidden="1" customHeight="1" x14ac:dyDescent="0.35">
      <c r="A80" s="2514"/>
      <c r="B80" s="2515"/>
      <c r="C80" s="2516"/>
      <c r="D80" s="1003"/>
      <c r="E80" s="1004"/>
      <c r="F80" s="1004"/>
      <c r="G80" s="1004"/>
      <c r="H80" s="1004"/>
      <c r="I80" s="1004"/>
      <c r="J80" s="1005"/>
      <c r="K80" s="2635"/>
      <c r="L80" s="2636"/>
      <c r="M80" s="2604"/>
      <c r="N80" s="2604"/>
      <c r="O80" s="2604"/>
      <c r="P80" s="2604"/>
      <c r="Q80" s="2604"/>
      <c r="R80" s="2635"/>
      <c r="S80" s="2636"/>
      <c r="T80" s="971"/>
    </row>
    <row r="81" spans="1:20" ht="16" thickBot="1" x14ac:dyDescent="0.4">
      <c r="A81" s="2507" t="s">
        <v>699</v>
      </c>
      <c r="B81" s="2508"/>
      <c r="C81" s="2509"/>
      <c r="D81" s="996" t="s">
        <v>700</v>
      </c>
      <c r="E81" s="997"/>
      <c r="F81" s="997"/>
      <c r="G81" s="997"/>
      <c r="H81" s="997"/>
      <c r="I81" s="997"/>
      <c r="J81" s="998"/>
      <c r="K81" s="2630">
        <v>26.5</v>
      </c>
      <c r="L81" s="2631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2630">
        <v>28.1</v>
      </c>
      <c r="S81" s="2631"/>
      <c r="T81" s="971"/>
    </row>
    <row r="82" spans="1:20" ht="15" hidden="1" x14ac:dyDescent="0.3">
      <c r="A82" s="2479" t="s">
        <v>701</v>
      </c>
      <c r="B82" s="2480"/>
      <c r="C82" s="2481"/>
      <c r="D82" s="976" t="s">
        <v>702</v>
      </c>
      <c r="E82" s="977"/>
      <c r="F82" s="977"/>
      <c r="G82" s="977"/>
      <c r="H82" s="977"/>
      <c r="I82" s="977"/>
      <c r="J82" s="978"/>
      <c r="K82" s="2605">
        <f>K85+K90+K84</f>
        <v>0</v>
      </c>
      <c r="L82" s="2606"/>
      <c r="M82" s="2604">
        <v>530</v>
      </c>
      <c r="N82" s="2604"/>
      <c r="O82" s="2604"/>
      <c r="P82" s="2604">
        <f>P84+P85+P90</f>
        <v>590</v>
      </c>
      <c r="Q82" s="2604">
        <v>375.10428000000002</v>
      </c>
      <c r="R82" s="2605">
        <f>R85+R90+R84</f>
        <v>0</v>
      </c>
      <c r="S82" s="2606"/>
      <c r="T82" s="971"/>
    </row>
    <row r="83" spans="1:20" hidden="1" thickBot="1" x14ac:dyDescent="0.35">
      <c r="A83" s="2482"/>
      <c r="B83" s="2483"/>
      <c r="C83" s="2484"/>
      <c r="D83" s="979" t="s">
        <v>703</v>
      </c>
      <c r="E83" s="980"/>
      <c r="F83" s="980"/>
      <c r="G83" s="980"/>
      <c r="H83" s="980"/>
      <c r="I83" s="980"/>
      <c r="J83" s="981"/>
      <c r="K83" s="2607"/>
      <c r="L83" s="2608"/>
      <c r="M83" s="2611"/>
      <c r="N83" s="2611"/>
      <c r="O83" s="2611"/>
      <c r="P83" s="2611"/>
      <c r="Q83" s="2611"/>
      <c r="R83" s="2607"/>
      <c r="S83" s="2608"/>
      <c r="T83" s="971"/>
    </row>
    <row r="84" spans="1:20" ht="15.65" hidden="1" customHeight="1" x14ac:dyDescent="0.35">
      <c r="A84" s="2500" t="s">
        <v>704</v>
      </c>
      <c r="B84" s="2501"/>
      <c r="C84" s="2502"/>
      <c r="D84" s="1006" t="s">
        <v>705</v>
      </c>
      <c r="E84" s="1007"/>
      <c r="F84" s="1007"/>
      <c r="G84" s="1007"/>
      <c r="H84" s="1007"/>
      <c r="I84" s="1007"/>
      <c r="J84" s="1008"/>
      <c r="K84" s="2628"/>
      <c r="L84" s="2629"/>
      <c r="M84" s="1021"/>
      <c r="N84" s="1022"/>
      <c r="O84" s="1022"/>
      <c r="P84" s="1022"/>
      <c r="Q84" s="1023">
        <v>62.085000000000001</v>
      </c>
      <c r="R84" s="2628"/>
      <c r="S84" s="2629"/>
      <c r="T84" s="971"/>
    </row>
    <row r="85" spans="1:20" hidden="1" x14ac:dyDescent="0.35">
      <c r="A85" s="2496" t="s">
        <v>706</v>
      </c>
      <c r="B85" s="2497"/>
      <c r="C85" s="2498"/>
      <c r="D85" s="996" t="s">
        <v>707</v>
      </c>
      <c r="E85" s="997"/>
      <c r="F85" s="997"/>
      <c r="G85" s="997"/>
      <c r="H85" s="997"/>
      <c r="I85" s="997"/>
      <c r="J85" s="998"/>
      <c r="K85" s="2624">
        <v>0</v>
      </c>
      <c r="L85" s="2625"/>
      <c r="M85" s="2612">
        <v>190</v>
      </c>
      <c r="N85" s="2612">
        <v>30</v>
      </c>
      <c r="O85" s="2612">
        <v>30</v>
      </c>
      <c r="P85" s="2612">
        <f>M85+N85+O85</f>
        <v>250</v>
      </c>
      <c r="Q85" s="2612">
        <v>243.4375</v>
      </c>
      <c r="R85" s="2624">
        <v>0</v>
      </c>
      <c r="S85" s="2625"/>
      <c r="T85" s="971"/>
    </row>
    <row r="86" spans="1:20" hidden="1" x14ac:dyDescent="0.35">
      <c r="A86" s="2492"/>
      <c r="B86" s="2493"/>
      <c r="C86" s="2494"/>
      <c r="D86" s="996" t="s">
        <v>708</v>
      </c>
      <c r="E86" s="997"/>
      <c r="F86" s="997"/>
      <c r="G86" s="997"/>
      <c r="H86" s="997"/>
      <c r="I86" s="997"/>
      <c r="J86" s="998"/>
      <c r="K86" s="2624"/>
      <c r="L86" s="2625"/>
      <c r="M86" s="2604"/>
      <c r="N86" s="2604"/>
      <c r="O86" s="2604"/>
      <c r="P86" s="2604"/>
      <c r="Q86" s="2604"/>
      <c r="R86" s="2624"/>
      <c r="S86" s="2625"/>
      <c r="T86" s="971"/>
    </row>
    <row r="87" spans="1:20" hidden="1" x14ac:dyDescent="0.35">
      <c r="A87" s="2492"/>
      <c r="B87" s="2493"/>
      <c r="C87" s="2494"/>
      <c r="D87" s="996" t="s">
        <v>709</v>
      </c>
      <c r="E87" s="997"/>
      <c r="F87" s="997"/>
      <c r="G87" s="997"/>
      <c r="H87" s="997"/>
      <c r="I87" s="997"/>
      <c r="J87" s="998"/>
      <c r="K87" s="2624"/>
      <c r="L87" s="2625"/>
      <c r="M87" s="2604"/>
      <c r="N87" s="2604"/>
      <c r="O87" s="2604"/>
      <c r="P87" s="2604"/>
      <c r="Q87" s="2604"/>
      <c r="R87" s="2624"/>
      <c r="S87" s="2625"/>
      <c r="T87" s="971"/>
    </row>
    <row r="88" spans="1:20" hidden="1" x14ac:dyDescent="0.35">
      <c r="A88" s="2492"/>
      <c r="B88" s="2493"/>
      <c r="C88" s="2494"/>
      <c r="D88" s="996" t="s">
        <v>710</v>
      </c>
      <c r="E88" s="997"/>
      <c r="F88" s="997"/>
      <c r="G88" s="997"/>
      <c r="H88" s="997"/>
      <c r="I88" s="997"/>
      <c r="J88" s="998"/>
      <c r="K88" s="2624"/>
      <c r="L88" s="2625"/>
      <c r="M88" s="2604"/>
      <c r="N88" s="2604"/>
      <c r="O88" s="2604"/>
      <c r="P88" s="2604"/>
      <c r="Q88" s="2604"/>
      <c r="R88" s="2624"/>
      <c r="S88" s="2625"/>
      <c r="T88" s="971"/>
    </row>
    <row r="89" spans="1:20" ht="16" hidden="1" thickBot="1" x14ac:dyDescent="0.4">
      <c r="A89" s="2469"/>
      <c r="B89" s="2470"/>
      <c r="C89" s="2354"/>
      <c r="D89" s="985" t="s">
        <v>711</v>
      </c>
      <c r="E89" s="986"/>
      <c r="F89" s="986"/>
      <c r="G89" s="986"/>
      <c r="H89" s="986"/>
      <c r="I89" s="986"/>
      <c r="J89" s="987"/>
      <c r="K89" s="2626"/>
      <c r="L89" s="2627"/>
      <c r="M89" s="2604"/>
      <c r="N89" s="2604"/>
      <c r="O89" s="2604"/>
      <c r="P89" s="2604"/>
      <c r="Q89" s="2604"/>
      <c r="R89" s="2626"/>
      <c r="S89" s="2627"/>
      <c r="T89" s="971"/>
    </row>
    <row r="90" spans="1:20" ht="15.65" hidden="1" customHeight="1" thickBot="1" x14ac:dyDescent="0.4">
      <c r="A90" s="2467" t="s">
        <v>712</v>
      </c>
      <c r="B90" s="2468"/>
      <c r="C90" s="2353"/>
      <c r="D90" s="996" t="s">
        <v>713</v>
      </c>
      <c r="E90" s="997"/>
      <c r="F90" s="997"/>
      <c r="G90" s="997"/>
      <c r="H90" s="997"/>
      <c r="I90" s="997"/>
      <c r="J90" s="998"/>
      <c r="K90" s="2620"/>
      <c r="L90" s="2621"/>
      <c r="M90" s="2604">
        <v>340</v>
      </c>
      <c r="N90" s="2604"/>
      <c r="O90" s="2604"/>
      <c r="P90" s="2604">
        <f>M90+N90+O90</f>
        <v>340</v>
      </c>
      <c r="Q90" s="2604">
        <v>69.581779999999995</v>
      </c>
      <c r="R90" s="2620"/>
      <c r="S90" s="2621"/>
      <c r="T90" s="971"/>
    </row>
    <row r="91" spans="1:20" ht="15.65" hidden="1" customHeight="1" thickBot="1" x14ac:dyDescent="0.4">
      <c r="A91" s="2492"/>
      <c r="B91" s="2493"/>
      <c r="C91" s="2494"/>
      <c r="D91" s="996" t="s">
        <v>714</v>
      </c>
      <c r="E91" s="997"/>
      <c r="F91" s="997"/>
      <c r="G91" s="997"/>
      <c r="H91" s="997"/>
      <c r="I91" s="997"/>
      <c r="J91" s="998"/>
      <c r="K91" s="2624"/>
      <c r="L91" s="2625"/>
      <c r="M91" s="2604"/>
      <c r="N91" s="2604"/>
      <c r="O91" s="2604"/>
      <c r="P91" s="2604"/>
      <c r="Q91" s="2604"/>
      <c r="R91" s="2624"/>
      <c r="S91" s="2625"/>
      <c r="T91" s="971"/>
    </row>
    <row r="92" spans="1:20" ht="15.65" hidden="1" customHeight="1" thickBot="1" x14ac:dyDescent="0.4">
      <c r="A92" s="2492"/>
      <c r="B92" s="2493"/>
      <c r="C92" s="2494"/>
      <c r="D92" s="996" t="s">
        <v>715</v>
      </c>
      <c r="E92" s="997"/>
      <c r="F92" s="997"/>
      <c r="G92" s="997"/>
      <c r="H92" s="997"/>
      <c r="I92" s="997"/>
      <c r="J92" s="998"/>
      <c r="K92" s="2624"/>
      <c r="L92" s="2625"/>
      <c r="M92" s="2604"/>
      <c r="N92" s="2604"/>
      <c r="O92" s="2604"/>
      <c r="P92" s="2604"/>
      <c r="Q92" s="2604"/>
      <c r="R92" s="2624"/>
      <c r="S92" s="2625"/>
      <c r="T92" s="971"/>
    </row>
    <row r="93" spans="1:20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624"/>
      <c r="L93" s="2625"/>
      <c r="M93" s="1015"/>
      <c r="N93" s="1015"/>
      <c r="O93" s="1015"/>
      <c r="P93" s="1015"/>
      <c r="Q93" s="1016"/>
      <c r="R93" s="2624"/>
      <c r="S93" s="2625"/>
      <c r="T93" s="971"/>
    </row>
    <row r="94" spans="1:20" ht="15.75" customHeight="1" x14ac:dyDescent="0.3">
      <c r="A94" s="2479" t="s">
        <v>716</v>
      </c>
      <c r="B94" s="2480"/>
      <c r="C94" s="2481"/>
      <c r="D94" s="2485" t="s">
        <v>717</v>
      </c>
      <c r="E94" s="2486"/>
      <c r="F94" s="2486"/>
      <c r="G94" s="2486"/>
      <c r="H94" s="2486"/>
      <c r="I94" s="2486"/>
      <c r="J94" s="2487"/>
      <c r="K94" s="2605">
        <f>K96</f>
        <v>20</v>
      </c>
      <c r="L94" s="2606"/>
      <c r="M94" s="1015"/>
      <c r="N94" s="1015"/>
      <c r="O94" s="1015"/>
      <c r="P94" s="1015"/>
      <c r="Q94" s="1016"/>
      <c r="R94" s="2605">
        <f>R96</f>
        <v>20</v>
      </c>
      <c r="S94" s="2606"/>
      <c r="T94" s="971"/>
    </row>
    <row r="95" spans="1:20" ht="15.75" customHeight="1" thickBot="1" x14ac:dyDescent="0.35">
      <c r="A95" s="2482"/>
      <c r="B95" s="2483"/>
      <c r="C95" s="2484"/>
      <c r="D95" s="2488"/>
      <c r="E95" s="2489"/>
      <c r="F95" s="2489"/>
      <c r="G95" s="2489"/>
      <c r="H95" s="2489"/>
      <c r="I95" s="2489"/>
      <c r="J95" s="2490"/>
      <c r="K95" s="2618"/>
      <c r="L95" s="2619"/>
      <c r="M95" s="1015"/>
      <c r="N95" s="1015"/>
      <c r="O95" s="1015"/>
      <c r="P95" s="1015"/>
      <c r="Q95" s="1016"/>
      <c r="R95" s="2618"/>
      <c r="S95" s="2619"/>
      <c r="T95" s="971"/>
    </row>
    <row r="96" spans="1:20" ht="15.75" customHeight="1" x14ac:dyDescent="0.3">
      <c r="A96" s="2467" t="s">
        <v>718</v>
      </c>
      <c r="B96" s="2468"/>
      <c r="C96" s="2353"/>
      <c r="D96" s="2471" t="s">
        <v>719</v>
      </c>
      <c r="E96" s="2472"/>
      <c r="F96" s="2472"/>
      <c r="G96" s="2472"/>
      <c r="H96" s="2472"/>
      <c r="I96" s="2472"/>
      <c r="J96" s="2473"/>
      <c r="K96" s="2620">
        <v>20</v>
      </c>
      <c r="L96" s="2621"/>
      <c r="M96" s="1015"/>
      <c r="N96" s="1015"/>
      <c r="O96" s="1015"/>
      <c r="P96" s="1015"/>
      <c r="Q96" s="1016"/>
      <c r="R96" s="2620">
        <v>20</v>
      </c>
      <c r="S96" s="2621"/>
      <c r="T96" s="971"/>
    </row>
    <row r="97" spans="1:20" ht="27" customHeight="1" thickBot="1" x14ac:dyDescent="0.35">
      <c r="A97" s="2469"/>
      <c r="B97" s="2470"/>
      <c r="C97" s="2354"/>
      <c r="D97" s="2474"/>
      <c r="E97" s="2475"/>
      <c r="F97" s="2475"/>
      <c r="G97" s="2475"/>
      <c r="H97" s="2475"/>
      <c r="I97" s="2475"/>
      <c r="J97" s="2476"/>
      <c r="K97" s="2622"/>
      <c r="L97" s="2623"/>
      <c r="M97" s="1015"/>
      <c r="N97" s="1015"/>
      <c r="O97" s="1015"/>
      <c r="P97" s="1015"/>
      <c r="Q97" s="1016"/>
      <c r="R97" s="2622"/>
      <c r="S97" s="2623"/>
      <c r="T97" s="971"/>
    </row>
    <row r="98" spans="1:20" ht="15" x14ac:dyDescent="0.3">
      <c r="A98" s="2407" t="s">
        <v>720</v>
      </c>
      <c r="B98" s="2408"/>
      <c r="C98" s="2409"/>
      <c r="D98" s="976"/>
      <c r="E98" s="977"/>
      <c r="F98" s="977"/>
      <c r="G98" s="977"/>
      <c r="H98" s="977"/>
      <c r="I98" s="977"/>
      <c r="J98" s="978"/>
      <c r="K98" s="2605">
        <f>K100</f>
        <v>26.5</v>
      </c>
      <c r="L98" s="2606"/>
      <c r="M98" s="2604">
        <v>90</v>
      </c>
      <c r="N98" s="2604"/>
      <c r="O98" s="2604"/>
      <c r="P98" s="2604">
        <f>P100</f>
        <v>150</v>
      </c>
      <c r="Q98" s="2604">
        <v>129.83756</v>
      </c>
      <c r="R98" s="2605">
        <f>R100</f>
        <v>28.1</v>
      </c>
      <c r="S98" s="2606"/>
      <c r="T98" s="971"/>
    </row>
    <row r="99" spans="1:20" thickBot="1" x14ac:dyDescent="0.35">
      <c r="A99" s="2410"/>
      <c r="B99" s="2411"/>
      <c r="C99" s="2412"/>
      <c r="D99" s="1009" t="s">
        <v>721</v>
      </c>
      <c r="E99" s="1010"/>
      <c r="F99" s="1010"/>
      <c r="G99" s="1010"/>
      <c r="H99" s="1010"/>
      <c r="I99" s="1010"/>
      <c r="J99" s="1011"/>
      <c r="K99" s="2618"/>
      <c r="L99" s="2619"/>
      <c r="M99" s="2604"/>
      <c r="N99" s="2604"/>
      <c r="O99" s="2604"/>
      <c r="P99" s="2604"/>
      <c r="Q99" s="2604"/>
      <c r="R99" s="2618"/>
      <c r="S99" s="2619"/>
      <c r="T99" s="971"/>
    </row>
    <row r="100" spans="1:20" ht="15" x14ac:dyDescent="0.3">
      <c r="A100" s="2457" t="s">
        <v>722</v>
      </c>
      <c r="B100" s="2458"/>
      <c r="C100" s="2459"/>
      <c r="D100" s="976"/>
      <c r="E100" s="977"/>
      <c r="F100" s="977"/>
      <c r="G100" s="977"/>
      <c r="H100" s="977"/>
      <c r="I100" s="977"/>
      <c r="J100" s="978"/>
      <c r="K100" s="2620">
        <v>26.5</v>
      </c>
      <c r="L100" s="2621"/>
      <c r="M100" s="2604">
        <v>90</v>
      </c>
      <c r="N100" s="2604">
        <v>30</v>
      </c>
      <c r="O100" s="2604">
        <v>30</v>
      </c>
      <c r="P100" s="2604">
        <f>M100+N100+O100</f>
        <v>150</v>
      </c>
      <c r="Q100" s="2604">
        <v>117.42055999999999</v>
      </c>
      <c r="R100" s="2620">
        <v>28.1</v>
      </c>
      <c r="S100" s="2621"/>
      <c r="T100" s="971"/>
    </row>
    <row r="101" spans="1:20" ht="16" thickBot="1" x14ac:dyDescent="0.4">
      <c r="A101" s="2460"/>
      <c r="B101" s="2461"/>
      <c r="C101" s="2462"/>
      <c r="D101" s="1003" t="s">
        <v>723</v>
      </c>
      <c r="E101" s="1010"/>
      <c r="F101" s="1010"/>
      <c r="G101" s="1010"/>
      <c r="H101" s="1010"/>
      <c r="I101" s="1010"/>
      <c r="J101" s="1011"/>
      <c r="K101" s="2622"/>
      <c r="L101" s="2623"/>
      <c r="M101" s="2604"/>
      <c r="N101" s="2604"/>
      <c r="O101" s="2604"/>
      <c r="P101" s="2604"/>
      <c r="Q101" s="2604"/>
      <c r="R101" s="2622"/>
      <c r="S101" s="2623"/>
      <c r="T101" s="971"/>
    </row>
    <row r="102" spans="1:20" ht="15.65" customHeight="1" x14ac:dyDescent="0.3">
      <c r="A102" s="2407" t="s">
        <v>724</v>
      </c>
      <c r="B102" s="2408"/>
      <c r="C102" s="2409"/>
      <c r="D102" s="976"/>
      <c r="E102" s="977"/>
      <c r="F102" s="977"/>
      <c r="G102" s="977"/>
      <c r="H102" s="977"/>
      <c r="I102" s="977"/>
      <c r="J102" s="978"/>
      <c r="K102" s="2605">
        <f>K105+K110+K111+K112+K114+K106+L107+K113+K109+K108</f>
        <v>20143.5</v>
      </c>
      <c r="L102" s="2606"/>
      <c r="M102" s="2604">
        <v>8484.0619999999999</v>
      </c>
      <c r="N102" s="2604"/>
      <c r="O102" s="2604"/>
      <c r="P102" s="2604">
        <f>P105+P110+P111+P112+P114</f>
        <v>8524.0619999999999</v>
      </c>
      <c r="Q102" s="2604">
        <v>3580.9459499999998</v>
      </c>
      <c r="R102" s="2605">
        <f>R105+R110+R111+R112+R114+R106+S107+R113+R109+R108</f>
        <v>20057.400000000001</v>
      </c>
      <c r="S102" s="2606"/>
      <c r="T102" s="971"/>
    </row>
    <row r="103" spans="1:20" ht="15.65" customHeight="1" x14ac:dyDescent="0.3">
      <c r="A103" s="2446"/>
      <c r="B103" s="2447"/>
      <c r="C103" s="2448"/>
      <c r="D103" s="999" t="s">
        <v>725</v>
      </c>
      <c r="E103" s="1000"/>
      <c r="F103" s="1000"/>
      <c r="G103" s="1000"/>
      <c r="H103" s="1000"/>
      <c r="I103" s="1000"/>
      <c r="J103" s="1001"/>
      <c r="K103" s="2616"/>
      <c r="L103" s="2617"/>
      <c r="M103" s="2604"/>
      <c r="N103" s="2604"/>
      <c r="O103" s="2604"/>
      <c r="P103" s="2604"/>
      <c r="Q103" s="2604"/>
      <c r="R103" s="2616"/>
      <c r="S103" s="2617"/>
      <c r="T103" s="971"/>
    </row>
    <row r="104" spans="1:20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607"/>
      <c r="L104" s="2608"/>
      <c r="M104" s="1015"/>
      <c r="N104" s="1015"/>
      <c r="O104" s="1015"/>
      <c r="P104" s="1015"/>
      <c r="Q104" s="1016"/>
      <c r="R104" s="2607"/>
      <c r="S104" s="2608"/>
      <c r="T104" s="971"/>
    </row>
    <row r="105" spans="1:20" ht="34.5" customHeight="1" thickBot="1" x14ac:dyDescent="0.4">
      <c r="A105" s="2397" t="s">
        <v>726</v>
      </c>
      <c r="B105" s="2398"/>
      <c r="C105" s="2399"/>
      <c r="D105" s="2417" t="s">
        <v>864</v>
      </c>
      <c r="E105" s="2418"/>
      <c r="F105" s="2418"/>
      <c r="G105" s="2418"/>
      <c r="H105" s="2418"/>
      <c r="I105" s="2418"/>
      <c r="J105" s="2419"/>
      <c r="K105" s="2609">
        <f>18807.1</f>
        <v>18807.099999999999</v>
      </c>
      <c r="L105" s="2610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2609">
        <v>19358.900000000001</v>
      </c>
      <c r="S105" s="2610"/>
      <c r="T105" s="971"/>
    </row>
    <row r="106" spans="1:20" ht="34.5" hidden="1" customHeight="1" thickBot="1" x14ac:dyDescent="0.4">
      <c r="A106" s="2397" t="s">
        <v>727</v>
      </c>
      <c r="B106" s="2398"/>
      <c r="C106" s="2399"/>
      <c r="D106" s="2417" t="s">
        <v>796</v>
      </c>
      <c r="E106" s="2418"/>
      <c r="F106" s="2418"/>
      <c r="G106" s="2418"/>
      <c r="H106" s="2418"/>
      <c r="I106" s="2418"/>
      <c r="J106" s="2419"/>
      <c r="K106" s="2609"/>
      <c r="L106" s="2610"/>
      <c r="M106" s="1015"/>
      <c r="N106" s="1015"/>
      <c r="O106" s="1015"/>
      <c r="P106" s="1015"/>
      <c r="Q106" s="1016"/>
      <c r="R106" s="2609"/>
      <c r="S106" s="2610"/>
      <c r="T106" s="971"/>
    </row>
    <row r="107" spans="1:20" ht="36.75" hidden="1" customHeight="1" thickBot="1" x14ac:dyDescent="0.4">
      <c r="A107" s="2397" t="s">
        <v>729</v>
      </c>
      <c r="B107" s="2398"/>
      <c r="C107" s="2399"/>
      <c r="D107" s="2417" t="s">
        <v>730</v>
      </c>
      <c r="E107" s="2418"/>
      <c r="F107" s="2418"/>
      <c r="G107" s="2418"/>
      <c r="H107" s="2418"/>
      <c r="I107" s="2418"/>
      <c r="J107" s="2419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5" hidden="1" customHeight="1" thickBot="1" x14ac:dyDescent="0.4">
      <c r="A108" s="2397" t="s">
        <v>731</v>
      </c>
      <c r="B108" s="2398"/>
      <c r="C108" s="2399"/>
      <c r="D108" s="2613" t="s">
        <v>732</v>
      </c>
      <c r="E108" s="2614"/>
      <c r="F108" s="2614"/>
      <c r="G108" s="2614"/>
      <c r="H108" s="2614"/>
      <c r="I108" s="2614"/>
      <c r="J108" s="2615"/>
      <c r="K108" s="2420"/>
      <c r="L108" s="2421"/>
      <c r="M108" s="1015"/>
      <c r="N108" s="1015"/>
      <c r="O108" s="1015"/>
      <c r="P108" s="1015"/>
      <c r="Q108" s="1016"/>
      <c r="R108" s="2420"/>
      <c r="S108" s="2421"/>
      <c r="T108" s="971"/>
    </row>
    <row r="109" spans="1:20" ht="60.65" hidden="1" customHeight="1" thickBot="1" x14ac:dyDescent="0.4">
      <c r="A109" s="2397" t="s">
        <v>733</v>
      </c>
      <c r="B109" s="2398"/>
      <c r="C109" s="2399"/>
      <c r="D109" s="2435" t="s">
        <v>734</v>
      </c>
      <c r="E109" s="2436"/>
      <c r="F109" s="2436"/>
      <c r="G109" s="2436"/>
      <c r="H109" s="2436"/>
      <c r="I109" s="2436"/>
      <c r="J109" s="2437"/>
      <c r="K109" s="2420"/>
      <c r="L109" s="2421"/>
      <c r="M109" s="1015"/>
      <c r="N109" s="1015"/>
      <c r="O109" s="1015"/>
      <c r="P109" s="1015"/>
      <c r="Q109" s="1016"/>
      <c r="R109" s="2420"/>
      <c r="S109" s="2421"/>
      <c r="T109" s="971"/>
    </row>
    <row r="110" spans="1:20" ht="36.75" customHeight="1" thickBot="1" x14ac:dyDescent="0.4">
      <c r="A110" s="2397" t="s">
        <v>735</v>
      </c>
      <c r="B110" s="2398"/>
      <c r="C110" s="2399"/>
      <c r="D110" s="2417" t="s">
        <v>736</v>
      </c>
      <c r="E110" s="2418"/>
      <c r="F110" s="2418"/>
      <c r="G110" s="2418"/>
      <c r="H110" s="2418"/>
      <c r="I110" s="2418"/>
      <c r="J110" s="2419"/>
      <c r="K110" s="2420">
        <v>662.9</v>
      </c>
      <c r="L110" s="2421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2420">
        <v>0</v>
      </c>
      <c r="S110" s="2421"/>
      <c r="T110" s="971"/>
    </row>
    <row r="111" spans="1:20" ht="53.25" customHeight="1" thickBot="1" x14ac:dyDescent="0.4">
      <c r="A111" s="2397" t="s">
        <v>737</v>
      </c>
      <c r="B111" s="2398"/>
      <c r="C111" s="2399"/>
      <c r="D111" s="2417" t="s">
        <v>889</v>
      </c>
      <c r="E111" s="2418"/>
      <c r="F111" s="2418"/>
      <c r="G111" s="2418"/>
      <c r="H111" s="2418"/>
      <c r="I111" s="2418"/>
      <c r="J111" s="2419"/>
      <c r="K111" s="2420">
        <f>598.5+0.008</f>
        <v>598.50800000000004</v>
      </c>
      <c r="L111" s="2421"/>
      <c r="M111" s="1015">
        <v>10</v>
      </c>
      <c r="N111" s="1015"/>
      <c r="O111" s="1015"/>
      <c r="P111" s="1015">
        <v>10</v>
      </c>
      <c r="Q111" s="1016">
        <v>10</v>
      </c>
      <c r="R111" s="2420">
        <f>598.5+0.008</f>
        <v>598.50800000000004</v>
      </c>
      <c r="S111" s="2421"/>
      <c r="T111" s="971"/>
    </row>
    <row r="112" spans="1:20" ht="49.15" hidden="1" customHeight="1" thickBot="1" x14ac:dyDescent="0.4">
      <c r="A112" s="2397" t="s">
        <v>738</v>
      </c>
      <c r="B112" s="2398"/>
      <c r="C112" s="2399"/>
      <c r="D112" s="2417" t="s">
        <v>739</v>
      </c>
      <c r="E112" s="2418"/>
      <c r="F112" s="2418"/>
      <c r="G112" s="2418"/>
      <c r="H112" s="2418"/>
      <c r="I112" s="2418"/>
      <c r="J112" s="2419"/>
      <c r="K112" s="2420"/>
      <c r="L112" s="2421"/>
      <c r="M112" s="1015">
        <v>613</v>
      </c>
      <c r="N112" s="1015"/>
      <c r="O112" s="1015"/>
      <c r="P112" s="1015">
        <v>613</v>
      </c>
      <c r="Q112" s="1016">
        <v>613</v>
      </c>
      <c r="R112" s="2420"/>
      <c r="S112" s="2421"/>
      <c r="T112" s="971"/>
    </row>
    <row r="113" spans="1:20" ht="58.9" hidden="1" customHeight="1" thickBot="1" x14ac:dyDescent="0.4">
      <c r="A113" s="2397" t="s">
        <v>740</v>
      </c>
      <c r="B113" s="2398"/>
      <c r="C113" s="2399"/>
      <c r="D113" s="2417" t="s">
        <v>741</v>
      </c>
      <c r="E113" s="2418"/>
      <c r="F113" s="2418"/>
      <c r="G113" s="2418"/>
      <c r="H113" s="2418"/>
      <c r="I113" s="2418"/>
      <c r="J113" s="2419"/>
      <c r="K113" s="2420"/>
      <c r="L113" s="2421"/>
      <c r="M113" s="1015"/>
      <c r="N113" s="1015"/>
      <c r="O113" s="1015"/>
      <c r="P113" s="1015"/>
      <c r="Q113" s="1016"/>
      <c r="R113" s="2420"/>
      <c r="S113" s="2421"/>
      <c r="T113" s="971"/>
    </row>
    <row r="114" spans="1:20" ht="34.5" customHeight="1" thickBot="1" x14ac:dyDescent="0.4">
      <c r="A114" s="2397" t="s">
        <v>742</v>
      </c>
      <c r="B114" s="2398"/>
      <c r="C114" s="2399"/>
      <c r="D114" s="2400" t="s">
        <v>743</v>
      </c>
      <c r="E114" s="2401"/>
      <c r="F114" s="2401"/>
      <c r="G114" s="2401"/>
      <c r="H114" s="2401"/>
      <c r="I114" s="2401"/>
      <c r="J114" s="2402"/>
      <c r="K114" s="2609">
        <f>75-0.008</f>
        <v>74.992000000000004</v>
      </c>
      <c r="L114" s="2610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2609">
        <f>100-0.008</f>
        <v>99.992000000000004</v>
      </c>
      <c r="S114" s="2610"/>
      <c r="T114" s="971"/>
    </row>
    <row r="115" spans="1:20" ht="12.75" customHeight="1" x14ac:dyDescent="0.35">
      <c r="A115" s="2407" t="s">
        <v>744</v>
      </c>
      <c r="B115" s="2408"/>
      <c r="C115" s="2409"/>
      <c r="D115" s="982"/>
      <c r="E115" s="983"/>
      <c r="F115" s="983"/>
      <c r="G115" s="983"/>
      <c r="H115" s="983"/>
      <c r="I115" s="983"/>
      <c r="J115" s="984"/>
      <c r="K115" s="2605">
        <f>K32+K102</f>
        <v>98386.68</v>
      </c>
      <c r="L115" s="2606"/>
      <c r="M115" s="2604">
        <v>25719.42</v>
      </c>
      <c r="N115" s="2604"/>
      <c r="O115" s="2604"/>
      <c r="P115" s="2611">
        <f>P32+P102</f>
        <v>29736.455999999998</v>
      </c>
      <c r="Q115" s="2604"/>
      <c r="R115" s="2605">
        <f>R32+R102</f>
        <v>102895.68100000001</v>
      </c>
      <c r="S115" s="2606"/>
      <c r="T115" s="971"/>
    </row>
    <row r="116" spans="1:20" ht="16.5" customHeight="1" thickBot="1" x14ac:dyDescent="0.4">
      <c r="A116" s="2410"/>
      <c r="B116" s="2411"/>
      <c r="C116" s="2412"/>
      <c r="D116" s="979"/>
      <c r="E116" s="980"/>
      <c r="F116" s="980"/>
      <c r="G116" s="986"/>
      <c r="H116" s="986"/>
      <c r="I116" s="986"/>
      <c r="J116" s="987"/>
      <c r="K116" s="2607"/>
      <c r="L116" s="2608"/>
      <c r="M116" s="2604"/>
      <c r="N116" s="2604"/>
      <c r="O116" s="2604"/>
      <c r="P116" s="2612"/>
      <c r="Q116" s="2604"/>
      <c r="R116" s="2607"/>
      <c r="S116" s="2608"/>
      <c r="T116" s="971"/>
    </row>
    <row r="117" spans="1:20" x14ac:dyDescent="0.35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15" ht="17.25" customHeight="1" x14ac:dyDescent="0.35">
      <c r="A1" s="551"/>
      <c r="B1" s="552"/>
      <c r="C1" s="552"/>
      <c r="D1" s="552"/>
      <c r="E1" s="552"/>
      <c r="F1" s="552"/>
      <c r="G1" s="2733" t="s">
        <v>978</v>
      </c>
      <c r="H1" s="2733"/>
      <c r="I1" s="2733"/>
      <c r="J1" s="2733"/>
    </row>
    <row r="2" spans="1:15" ht="15.5" x14ac:dyDescent="0.35">
      <c r="A2" s="554"/>
      <c r="B2" s="554"/>
      <c r="C2" s="554"/>
      <c r="D2" s="554"/>
      <c r="E2" s="554"/>
      <c r="F2" s="2733" t="s">
        <v>797</v>
      </c>
      <c r="G2" s="2733"/>
      <c r="H2" s="2733"/>
      <c r="I2" s="554"/>
      <c r="J2" s="554"/>
    </row>
    <row r="3" spans="1:15" ht="15.5" x14ac:dyDescent="0.35">
      <c r="A3" s="554"/>
      <c r="B3" s="2733" t="s">
        <v>449</v>
      </c>
      <c r="C3" s="2733"/>
      <c r="D3" s="2733"/>
      <c r="E3" s="2733"/>
      <c r="F3" s="2733"/>
      <c r="G3" s="2733"/>
      <c r="H3" s="2733"/>
      <c r="I3" s="2733"/>
      <c r="J3" s="2733"/>
      <c r="K3" s="554"/>
      <c r="L3" s="554"/>
      <c r="M3" s="554"/>
      <c r="N3" s="554"/>
      <c r="O3" s="554"/>
    </row>
    <row r="4" spans="1:15" ht="15.5" x14ac:dyDescent="0.35">
      <c r="A4" s="551"/>
      <c r="B4" s="554"/>
      <c r="C4" s="554"/>
      <c r="D4" s="2733" t="s">
        <v>798</v>
      </c>
      <c r="E4" s="2733"/>
      <c r="F4" s="2733"/>
      <c r="G4" s="2733"/>
      <c r="H4" s="2733"/>
      <c r="I4" s="554"/>
      <c r="J4" s="554"/>
      <c r="L4" s="554"/>
      <c r="M4" s="554"/>
      <c r="N4" s="554"/>
      <c r="O4" s="554"/>
    </row>
    <row r="5" spans="1:15" ht="18" customHeight="1" x14ac:dyDescent="0.35">
      <c r="A5" s="551"/>
      <c r="B5" s="552"/>
      <c r="C5" s="552"/>
      <c r="D5" s="552"/>
      <c r="E5" s="1770" t="s">
        <v>905</v>
      </c>
      <c r="F5" s="2603" t="s">
        <v>1105</v>
      </c>
      <c r="G5" s="2603"/>
      <c r="H5" s="2603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5" hidden="1" x14ac:dyDescent="0.25">
      <c r="F7" s="546"/>
      <c r="H7" s="383" t="s">
        <v>446</v>
      </c>
      <c r="J7" s="546" t="s">
        <v>446</v>
      </c>
      <c r="L7" s="555"/>
      <c r="M7" s="555"/>
    </row>
    <row r="8" spans="1:15" ht="13" hidden="1" x14ac:dyDescent="0.25">
      <c r="F8" s="558"/>
      <c r="H8" s="384"/>
      <c r="L8" s="555"/>
      <c r="M8" s="555"/>
      <c r="N8" s="558"/>
    </row>
    <row r="9" spans="1:15" ht="15.5" hidden="1" x14ac:dyDescent="0.25">
      <c r="F9" s="546"/>
      <c r="H9" s="383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t="13" hidden="1" x14ac:dyDescent="0.3">
      <c r="A12" s="2734"/>
      <c r="B12" s="2734"/>
      <c r="C12" s="2734"/>
      <c r="D12" s="2734"/>
      <c r="E12" s="2734"/>
      <c r="F12" s="2734"/>
    </row>
    <row r="13" spans="1:15" ht="69.75" customHeight="1" x14ac:dyDescent="0.3">
      <c r="A13" s="2732" t="s">
        <v>823</v>
      </c>
      <c r="B13" s="2732"/>
      <c r="C13" s="2732"/>
      <c r="D13" s="2732"/>
      <c r="E13" s="2732"/>
      <c r="F13" s="2732"/>
      <c r="G13" s="2732"/>
      <c r="H13" s="2732"/>
      <c r="I13" s="2732"/>
      <c r="J13" s="2732"/>
      <c r="L13" s="559" t="s">
        <v>106</v>
      </c>
    </row>
    <row r="14" spans="1:15" ht="15" customHeight="1" x14ac:dyDescent="0.3">
      <c r="A14" s="923"/>
      <c r="B14" s="2732" t="s">
        <v>998</v>
      </c>
      <c r="C14" s="2732"/>
      <c r="D14" s="2732"/>
      <c r="E14" s="2732"/>
      <c r="F14" s="2732"/>
      <c r="G14" s="2732"/>
      <c r="H14" s="2732"/>
      <c r="I14" s="2732"/>
      <c r="J14" s="2732"/>
      <c r="L14" s="559"/>
    </row>
    <row r="15" spans="1:15" ht="21" customHeight="1" thickBot="1" x14ac:dyDescent="0.35">
      <c r="A15" s="560"/>
      <c r="B15" s="560"/>
      <c r="C15" s="560"/>
      <c r="D15" s="560"/>
      <c r="E15" s="560"/>
      <c r="F15" s="560"/>
    </row>
    <row r="16" spans="1:15" s="564" customFormat="1" ht="45" x14ac:dyDescent="0.25">
      <c r="A16" s="561" t="s">
        <v>611</v>
      </c>
      <c r="B16" s="2739" t="s">
        <v>322</v>
      </c>
      <c r="C16" s="2739"/>
      <c r="D16" s="2739"/>
      <c r="E16" s="2739"/>
      <c r="F16" s="2739"/>
      <c r="G16" s="2739"/>
      <c r="H16" s="720" t="s">
        <v>827</v>
      </c>
      <c r="I16" s="562" t="s">
        <v>799</v>
      </c>
      <c r="J16" s="563" t="s">
        <v>800</v>
      </c>
    </row>
    <row r="17" spans="1:14" s="564" customFormat="1" ht="15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2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2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2" hidden="1" x14ac:dyDescent="0.25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5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5" customHeight="1" x14ac:dyDescent="0.35">
      <c r="A22" s="576"/>
      <c r="B22" s="2736" t="s">
        <v>824</v>
      </c>
      <c r="C22" s="2736"/>
      <c r="D22" s="2736"/>
      <c r="E22" s="2736"/>
      <c r="F22" s="2736"/>
      <c r="G22" s="2736"/>
      <c r="H22" s="729">
        <v>54.32</v>
      </c>
      <c r="I22" s="578"/>
      <c r="J22" s="579"/>
      <c r="M22" s="581"/>
      <c r="N22" s="1"/>
    </row>
    <row r="23" spans="1:14" s="580" customFormat="1" ht="15.5" hidden="1" x14ac:dyDescent="0.3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5" customHeight="1" x14ac:dyDescent="0.35">
      <c r="A24" s="576"/>
      <c r="B24" s="2737" t="s">
        <v>826</v>
      </c>
      <c r="C24" s="2737"/>
      <c r="D24" s="2737"/>
      <c r="E24" s="2737"/>
      <c r="F24" s="2737"/>
      <c r="G24" s="2737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35">
      <c r="A27" s="576"/>
      <c r="B27" s="2738" t="s">
        <v>825</v>
      </c>
      <c r="C27" s="2738"/>
      <c r="D27" s="2738"/>
      <c r="E27" s="2738"/>
      <c r="F27" s="2738"/>
      <c r="G27" s="2738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5" hidden="1" customHeight="1" x14ac:dyDescent="0.3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3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2" hidden="1" x14ac:dyDescent="0.3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2" hidden="1" x14ac:dyDescent="0.3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5" hidden="1" x14ac:dyDescent="0.3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35">
      <c r="A34" s="576"/>
      <c r="B34" s="2740" t="s">
        <v>586</v>
      </c>
      <c r="C34" s="2740"/>
      <c r="D34" s="2740"/>
      <c r="E34" s="2740"/>
      <c r="F34" s="2740"/>
      <c r="G34" s="2740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4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ht="13" x14ac:dyDescent="0.3">
      <c r="B36" s="2735" t="s">
        <v>828</v>
      </c>
      <c r="C36" s="2735"/>
      <c r="D36" s="2735"/>
      <c r="E36" s="2735"/>
      <c r="F36" s="2735"/>
      <c r="G36" s="2735"/>
      <c r="H36" s="924">
        <f>H22+H24+H27+H34</f>
        <v>795.02300000000002</v>
      </c>
    </row>
    <row r="186" ht="80.5" customHeight="1" x14ac:dyDescent="0.25"/>
  </sheetData>
  <mergeCells count="14">
    <mergeCell ref="B36:G36"/>
    <mergeCell ref="B22:G22"/>
    <mergeCell ref="B24:G24"/>
    <mergeCell ref="B27:G27"/>
    <mergeCell ref="B16:G16"/>
    <mergeCell ref="B34:G34"/>
    <mergeCell ref="A13:J13"/>
    <mergeCell ref="B14:J14"/>
    <mergeCell ref="G1:J1"/>
    <mergeCell ref="F2:H2"/>
    <mergeCell ref="B3:J3"/>
    <mergeCell ref="D4:H4"/>
    <mergeCell ref="F5:H5"/>
    <mergeCell ref="A12:F12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796875" defaultRowHeight="15.5" x14ac:dyDescent="0.35"/>
  <cols>
    <col min="1" max="1" width="9.1796875" style="587" customWidth="1"/>
    <col min="2" max="2" width="51.54296875" style="588" customWidth="1"/>
    <col min="3" max="3" width="20.1796875" style="588" customWidth="1"/>
    <col min="4" max="4" width="5" style="588" customWidth="1"/>
    <col min="5" max="256" width="9.1796875" style="588"/>
    <col min="257" max="257" width="9.1796875" style="588" customWidth="1"/>
    <col min="258" max="258" width="51.54296875" style="588" customWidth="1"/>
    <col min="259" max="259" width="20.1796875" style="588" customWidth="1"/>
    <col min="260" max="260" width="5" style="588" customWidth="1"/>
    <col min="261" max="512" width="9.1796875" style="588"/>
    <col min="513" max="513" width="9.1796875" style="588" customWidth="1"/>
    <col min="514" max="514" width="51.54296875" style="588" customWidth="1"/>
    <col min="515" max="515" width="20.1796875" style="588" customWidth="1"/>
    <col min="516" max="516" width="5" style="588" customWidth="1"/>
    <col min="517" max="768" width="9.1796875" style="588"/>
    <col min="769" max="769" width="9.1796875" style="588" customWidth="1"/>
    <col min="770" max="770" width="51.54296875" style="588" customWidth="1"/>
    <col min="771" max="771" width="20.1796875" style="588" customWidth="1"/>
    <col min="772" max="772" width="5" style="588" customWidth="1"/>
    <col min="773" max="1024" width="9.1796875" style="588"/>
    <col min="1025" max="1025" width="9.1796875" style="588" customWidth="1"/>
    <col min="1026" max="1026" width="51.54296875" style="588" customWidth="1"/>
    <col min="1027" max="1027" width="20.1796875" style="588" customWidth="1"/>
    <col min="1028" max="1028" width="5" style="588" customWidth="1"/>
    <col min="1029" max="1280" width="9.1796875" style="588"/>
    <col min="1281" max="1281" width="9.1796875" style="588" customWidth="1"/>
    <col min="1282" max="1282" width="51.54296875" style="588" customWidth="1"/>
    <col min="1283" max="1283" width="20.1796875" style="588" customWidth="1"/>
    <col min="1284" max="1284" width="5" style="588" customWidth="1"/>
    <col min="1285" max="1536" width="9.1796875" style="588"/>
    <col min="1537" max="1537" width="9.1796875" style="588" customWidth="1"/>
    <col min="1538" max="1538" width="51.54296875" style="588" customWidth="1"/>
    <col min="1539" max="1539" width="20.1796875" style="588" customWidth="1"/>
    <col min="1540" max="1540" width="5" style="588" customWidth="1"/>
    <col min="1541" max="1792" width="9.1796875" style="588"/>
    <col min="1793" max="1793" width="9.1796875" style="588" customWidth="1"/>
    <col min="1794" max="1794" width="51.54296875" style="588" customWidth="1"/>
    <col min="1795" max="1795" width="20.1796875" style="588" customWidth="1"/>
    <col min="1796" max="1796" width="5" style="588" customWidth="1"/>
    <col min="1797" max="2048" width="9.1796875" style="588"/>
    <col min="2049" max="2049" width="9.1796875" style="588" customWidth="1"/>
    <col min="2050" max="2050" width="51.54296875" style="588" customWidth="1"/>
    <col min="2051" max="2051" width="20.1796875" style="588" customWidth="1"/>
    <col min="2052" max="2052" width="5" style="588" customWidth="1"/>
    <col min="2053" max="2304" width="9.1796875" style="588"/>
    <col min="2305" max="2305" width="9.1796875" style="588" customWidth="1"/>
    <col min="2306" max="2306" width="51.54296875" style="588" customWidth="1"/>
    <col min="2307" max="2307" width="20.1796875" style="588" customWidth="1"/>
    <col min="2308" max="2308" width="5" style="588" customWidth="1"/>
    <col min="2309" max="2560" width="9.1796875" style="588"/>
    <col min="2561" max="2561" width="9.1796875" style="588" customWidth="1"/>
    <col min="2562" max="2562" width="51.54296875" style="588" customWidth="1"/>
    <col min="2563" max="2563" width="20.1796875" style="588" customWidth="1"/>
    <col min="2564" max="2564" width="5" style="588" customWidth="1"/>
    <col min="2565" max="2816" width="9.1796875" style="588"/>
    <col min="2817" max="2817" width="9.1796875" style="588" customWidth="1"/>
    <col min="2818" max="2818" width="51.54296875" style="588" customWidth="1"/>
    <col min="2819" max="2819" width="20.1796875" style="588" customWidth="1"/>
    <col min="2820" max="2820" width="5" style="588" customWidth="1"/>
    <col min="2821" max="3072" width="9.1796875" style="588"/>
    <col min="3073" max="3073" width="9.1796875" style="588" customWidth="1"/>
    <col min="3074" max="3074" width="51.54296875" style="588" customWidth="1"/>
    <col min="3075" max="3075" width="20.1796875" style="588" customWidth="1"/>
    <col min="3076" max="3076" width="5" style="588" customWidth="1"/>
    <col min="3077" max="3328" width="9.1796875" style="588"/>
    <col min="3329" max="3329" width="9.1796875" style="588" customWidth="1"/>
    <col min="3330" max="3330" width="51.54296875" style="588" customWidth="1"/>
    <col min="3331" max="3331" width="20.1796875" style="588" customWidth="1"/>
    <col min="3332" max="3332" width="5" style="588" customWidth="1"/>
    <col min="3333" max="3584" width="9.1796875" style="588"/>
    <col min="3585" max="3585" width="9.1796875" style="588" customWidth="1"/>
    <col min="3586" max="3586" width="51.54296875" style="588" customWidth="1"/>
    <col min="3587" max="3587" width="20.1796875" style="588" customWidth="1"/>
    <col min="3588" max="3588" width="5" style="588" customWidth="1"/>
    <col min="3589" max="3840" width="9.1796875" style="588"/>
    <col min="3841" max="3841" width="9.1796875" style="588" customWidth="1"/>
    <col min="3842" max="3842" width="51.54296875" style="588" customWidth="1"/>
    <col min="3843" max="3843" width="20.1796875" style="588" customWidth="1"/>
    <col min="3844" max="3844" width="5" style="588" customWidth="1"/>
    <col min="3845" max="4096" width="9.1796875" style="588"/>
    <col min="4097" max="4097" width="9.1796875" style="588" customWidth="1"/>
    <col min="4098" max="4098" width="51.54296875" style="588" customWidth="1"/>
    <col min="4099" max="4099" width="20.1796875" style="588" customWidth="1"/>
    <col min="4100" max="4100" width="5" style="588" customWidth="1"/>
    <col min="4101" max="4352" width="9.1796875" style="588"/>
    <col min="4353" max="4353" width="9.1796875" style="588" customWidth="1"/>
    <col min="4354" max="4354" width="51.54296875" style="588" customWidth="1"/>
    <col min="4355" max="4355" width="20.1796875" style="588" customWidth="1"/>
    <col min="4356" max="4356" width="5" style="588" customWidth="1"/>
    <col min="4357" max="4608" width="9.1796875" style="588"/>
    <col min="4609" max="4609" width="9.1796875" style="588" customWidth="1"/>
    <col min="4610" max="4610" width="51.54296875" style="588" customWidth="1"/>
    <col min="4611" max="4611" width="20.1796875" style="588" customWidth="1"/>
    <col min="4612" max="4612" width="5" style="588" customWidth="1"/>
    <col min="4613" max="4864" width="9.1796875" style="588"/>
    <col min="4865" max="4865" width="9.1796875" style="588" customWidth="1"/>
    <col min="4866" max="4866" width="51.54296875" style="588" customWidth="1"/>
    <col min="4867" max="4867" width="20.1796875" style="588" customWidth="1"/>
    <col min="4868" max="4868" width="5" style="588" customWidth="1"/>
    <col min="4869" max="5120" width="9.1796875" style="588"/>
    <col min="5121" max="5121" width="9.1796875" style="588" customWidth="1"/>
    <col min="5122" max="5122" width="51.54296875" style="588" customWidth="1"/>
    <col min="5123" max="5123" width="20.1796875" style="588" customWidth="1"/>
    <col min="5124" max="5124" width="5" style="588" customWidth="1"/>
    <col min="5125" max="5376" width="9.1796875" style="588"/>
    <col min="5377" max="5377" width="9.1796875" style="588" customWidth="1"/>
    <col min="5378" max="5378" width="51.54296875" style="588" customWidth="1"/>
    <col min="5379" max="5379" width="20.1796875" style="588" customWidth="1"/>
    <col min="5380" max="5380" width="5" style="588" customWidth="1"/>
    <col min="5381" max="5632" width="9.1796875" style="588"/>
    <col min="5633" max="5633" width="9.1796875" style="588" customWidth="1"/>
    <col min="5634" max="5634" width="51.54296875" style="588" customWidth="1"/>
    <col min="5635" max="5635" width="20.1796875" style="588" customWidth="1"/>
    <col min="5636" max="5636" width="5" style="588" customWidth="1"/>
    <col min="5637" max="5888" width="9.1796875" style="588"/>
    <col min="5889" max="5889" width="9.1796875" style="588" customWidth="1"/>
    <col min="5890" max="5890" width="51.54296875" style="588" customWidth="1"/>
    <col min="5891" max="5891" width="20.1796875" style="588" customWidth="1"/>
    <col min="5892" max="5892" width="5" style="588" customWidth="1"/>
    <col min="5893" max="6144" width="9.1796875" style="588"/>
    <col min="6145" max="6145" width="9.1796875" style="588" customWidth="1"/>
    <col min="6146" max="6146" width="51.54296875" style="588" customWidth="1"/>
    <col min="6147" max="6147" width="20.1796875" style="588" customWidth="1"/>
    <col min="6148" max="6148" width="5" style="588" customWidth="1"/>
    <col min="6149" max="6400" width="9.1796875" style="588"/>
    <col min="6401" max="6401" width="9.1796875" style="588" customWidth="1"/>
    <col min="6402" max="6402" width="51.54296875" style="588" customWidth="1"/>
    <col min="6403" max="6403" width="20.1796875" style="588" customWidth="1"/>
    <col min="6404" max="6404" width="5" style="588" customWidth="1"/>
    <col min="6405" max="6656" width="9.1796875" style="588"/>
    <col min="6657" max="6657" width="9.1796875" style="588" customWidth="1"/>
    <col min="6658" max="6658" width="51.54296875" style="588" customWidth="1"/>
    <col min="6659" max="6659" width="20.1796875" style="588" customWidth="1"/>
    <col min="6660" max="6660" width="5" style="588" customWidth="1"/>
    <col min="6661" max="6912" width="9.1796875" style="588"/>
    <col min="6913" max="6913" width="9.1796875" style="588" customWidth="1"/>
    <col min="6914" max="6914" width="51.54296875" style="588" customWidth="1"/>
    <col min="6915" max="6915" width="20.1796875" style="588" customWidth="1"/>
    <col min="6916" max="6916" width="5" style="588" customWidth="1"/>
    <col min="6917" max="7168" width="9.1796875" style="588"/>
    <col min="7169" max="7169" width="9.1796875" style="588" customWidth="1"/>
    <col min="7170" max="7170" width="51.54296875" style="588" customWidth="1"/>
    <col min="7171" max="7171" width="20.1796875" style="588" customWidth="1"/>
    <col min="7172" max="7172" width="5" style="588" customWidth="1"/>
    <col min="7173" max="7424" width="9.1796875" style="588"/>
    <col min="7425" max="7425" width="9.1796875" style="588" customWidth="1"/>
    <col min="7426" max="7426" width="51.54296875" style="588" customWidth="1"/>
    <col min="7427" max="7427" width="20.1796875" style="588" customWidth="1"/>
    <col min="7428" max="7428" width="5" style="588" customWidth="1"/>
    <col min="7429" max="7680" width="9.1796875" style="588"/>
    <col min="7681" max="7681" width="9.1796875" style="588" customWidth="1"/>
    <col min="7682" max="7682" width="51.54296875" style="588" customWidth="1"/>
    <col min="7683" max="7683" width="20.1796875" style="588" customWidth="1"/>
    <col min="7684" max="7684" width="5" style="588" customWidth="1"/>
    <col min="7685" max="7936" width="9.1796875" style="588"/>
    <col min="7937" max="7937" width="9.1796875" style="588" customWidth="1"/>
    <col min="7938" max="7938" width="51.54296875" style="588" customWidth="1"/>
    <col min="7939" max="7939" width="20.1796875" style="588" customWidth="1"/>
    <col min="7940" max="7940" width="5" style="588" customWidth="1"/>
    <col min="7941" max="8192" width="9.1796875" style="588"/>
    <col min="8193" max="8193" width="9.1796875" style="588" customWidth="1"/>
    <col min="8194" max="8194" width="51.54296875" style="588" customWidth="1"/>
    <col min="8195" max="8195" width="20.1796875" style="588" customWidth="1"/>
    <col min="8196" max="8196" width="5" style="588" customWidth="1"/>
    <col min="8197" max="8448" width="9.1796875" style="588"/>
    <col min="8449" max="8449" width="9.1796875" style="588" customWidth="1"/>
    <col min="8450" max="8450" width="51.54296875" style="588" customWidth="1"/>
    <col min="8451" max="8451" width="20.1796875" style="588" customWidth="1"/>
    <col min="8452" max="8452" width="5" style="588" customWidth="1"/>
    <col min="8453" max="8704" width="9.1796875" style="588"/>
    <col min="8705" max="8705" width="9.1796875" style="588" customWidth="1"/>
    <col min="8706" max="8706" width="51.54296875" style="588" customWidth="1"/>
    <col min="8707" max="8707" width="20.1796875" style="588" customWidth="1"/>
    <col min="8708" max="8708" width="5" style="588" customWidth="1"/>
    <col min="8709" max="8960" width="9.1796875" style="588"/>
    <col min="8961" max="8961" width="9.1796875" style="588" customWidth="1"/>
    <col min="8962" max="8962" width="51.54296875" style="588" customWidth="1"/>
    <col min="8963" max="8963" width="20.1796875" style="588" customWidth="1"/>
    <col min="8964" max="8964" width="5" style="588" customWidth="1"/>
    <col min="8965" max="9216" width="9.1796875" style="588"/>
    <col min="9217" max="9217" width="9.1796875" style="588" customWidth="1"/>
    <col min="9218" max="9218" width="51.54296875" style="588" customWidth="1"/>
    <col min="9219" max="9219" width="20.1796875" style="588" customWidth="1"/>
    <col min="9220" max="9220" width="5" style="588" customWidth="1"/>
    <col min="9221" max="9472" width="9.1796875" style="588"/>
    <col min="9473" max="9473" width="9.1796875" style="588" customWidth="1"/>
    <col min="9474" max="9474" width="51.54296875" style="588" customWidth="1"/>
    <col min="9475" max="9475" width="20.1796875" style="588" customWidth="1"/>
    <col min="9476" max="9476" width="5" style="588" customWidth="1"/>
    <col min="9477" max="9728" width="9.1796875" style="588"/>
    <col min="9729" max="9729" width="9.1796875" style="588" customWidth="1"/>
    <col min="9730" max="9730" width="51.54296875" style="588" customWidth="1"/>
    <col min="9731" max="9731" width="20.1796875" style="588" customWidth="1"/>
    <col min="9732" max="9732" width="5" style="588" customWidth="1"/>
    <col min="9733" max="9984" width="9.1796875" style="588"/>
    <col min="9985" max="9985" width="9.1796875" style="588" customWidth="1"/>
    <col min="9986" max="9986" width="51.54296875" style="588" customWidth="1"/>
    <col min="9987" max="9987" width="20.1796875" style="588" customWidth="1"/>
    <col min="9988" max="9988" width="5" style="588" customWidth="1"/>
    <col min="9989" max="10240" width="9.1796875" style="588"/>
    <col min="10241" max="10241" width="9.1796875" style="588" customWidth="1"/>
    <col min="10242" max="10242" width="51.54296875" style="588" customWidth="1"/>
    <col min="10243" max="10243" width="20.1796875" style="588" customWidth="1"/>
    <col min="10244" max="10244" width="5" style="588" customWidth="1"/>
    <col min="10245" max="10496" width="9.1796875" style="588"/>
    <col min="10497" max="10497" width="9.1796875" style="588" customWidth="1"/>
    <col min="10498" max="10498" width="51.54296875" style="588" customWidth="1"/>
    <col min="10499" max="10499" width="20.1796875" style="588" customWidth="1"/>
    <col min="10500" max="10500" width="5" style="588" customWidth="1"/>
    <col min="10501" max="10752" width="9.1796875" style="588"/>
    <col min="10753" max="10753" width="9.1796875" style="588" customWidth="1"/>
    <col min="10754" max="10754" width="51.54296875" style="588" customWidth="1"/>
    <col min="10755" max="10755" width="20.1796875" style="588" customWidth="1"/>
    <col min="10756" max="10756" width="5" style="588" customWidth="1"/>
    <col min="10757" max="11008" width="9.1796875" style="588"/>
    <col min="11009" max="11009" width="9.1796875" style="588" customWidth="1"/>
    <col min="11010" max="11010" width="51.54296875" style="588" customWidth="1"/>
    <col min="11011" max="11011" width="20.1796875" style="588" customWidth="1"/>
    <col min="11012" max="11012" width="5" style="588" customWidth="1"/>
    <col min="11013" max="11264" width="9.1796875" style="588"/>
    <col min="11265" max="11265" width="9.1796875" style="588" customWidth="1"/>
    <col min="11266" max="11266" width="51.54296875" style="588" customWidth="1"/>
    <col min="11267" max="11267" width="20.1796875" style="588" customWidth="1"/>
    <col min="11268" max="11268" width="5" style="588" customWidth="1"/>
    <col min="11269" max="11520" width="9.1796875" style="588"/>
    <col min="11521" max="11521" width="9.1796875" style="588" customWidth="1"/>
    <col min="11522" max="11522" width="51.54296875" style="588" customWidth="1"/>
    <col min="11523" max="11523" width="20.1796875" style="588" customWidth="1"/>
    <col min="11524" max="11524" width="5" style="588" customWidth="1"/>
    <col min="11525" max="11776" width="9.1796875" style="588"/>
    <col min="11777" max="11777" width="9.1796875" style="588" customWidth="1"/>
    <col min="11778" max="11778" width="51.54296875" style="588" customWidth="1"/>
    <col min="11779" max="11779" width="20.1796875" style="588" customWidth="1"/>
    <col min="11780" max="11780" width="5" style="588" customWidth="1"/>
    <col min="11781" max="12032" width="9.1796875" style="588"/>
    <col min="12033" max="12033" width="9.1796875" style="588" customWidth="1"/>
    <col min="12034" max="12034" width="51.54296875" style="588" customWidth="1"/>
    <col min="12035" max="12035" width="20.1796875" style="588" customWidth="1"/>
    <col min="12036" max="12036" width="5" style="588" customWidth="1"/>
    <col min="12037" max="12288" width="9.1796875" style="588"/>
    <col min="12289" max="12289" width="9.1796875" style="588" customWidth="1"/>
    <col min="12290" max="12290" width="51.54296875" style="588" customWidth="1"/>
    <col min="12291" max="12291" width="20.1796875" style="588" customWidth="1"/>
    <col min="12292" max="12292" width="5" style="588" customWidth="1"/>
    <col min="12293" max="12544" width="9.1796875" style="588"/>
    <col min="12545" max="12545" width="9.1796875" style="588" customWidth="1"/>
    <col min="12546" max="12546" width="51.54296875" style="588" customWidth="1"/>
    <col min="12547" max="12547" width="20.1796875" style="588" customWidth="1"/>
    <col min="12548" max="12548" width="5" style="588" customWidth="1"/>
    <col min="12549" max="12800" width="9.1796875" style="588"/>
    <col min="12801" max="12801" width="9.1796875" style="588" customWidth="1"/>
    <col min="12802" max="12802" width="51.54296875" style="588" customWidth="1"/>
    <col min="12803" max="12803" width="20.1796875" style="588" customWidth="1"/>
    <col min="12804" max="12804" width="5" style="588" customWidth="1"/>
    <col min="12805" max="13056" width="9.1796875" style="588"/>
    <col min="13057" max="13057" width="9.1796875" style="588" customWidth="1"/>
    <col min="13058" max="13058" width="51.54296875" style="588" customWidth="1"/>
    <col min="13059" max="13059" width="20.1796875" style="588" customWidth="1"/>
    <col min="13060" max="13060" width="5" style="588" customWidth="1"/>
    <col min="13061" max="13312" width="9.1796875" style="588"/>
    <col min="13313" max="13313" width="9.1796875" style="588" customWidth="1"/>
    <col min="13314" max="13314" width="51.54296875" style="588" customWidth="1"/>
    <col min="13315" max="13315" width="20.1796875" style="588" customWidth="1"/>
    <col min="13316" max="13316" width="5" style="588" customWidth="1"/>
    <col min="13317" max="13568" width="9.1796875" style="588"/>
    <col min="13569" max="13569" width="9.1796875" style="588" customWidth="1"/>
    <col min="13570" max="13570" width="51.54296875" style="588" customWidth="1"/>
    <col min="13571" max="13571" width="20.1796875" style="588" customWidth="1"/>
    <col min="13572" max="13572" width="5" style="588" customWidth="1"/>
    <col min="13573" max="13824" width="9.1796875" style="588"/>
    <col min="13825" max="13825" width="9.1796875" style="588" customWidth="1"/>
    <col min="13826" max="13826" width="51.54296875" style="588" customWidth="1"/>
    <col min="13827" max="13827" width="20.1796875" style="588" customWidth="1"/>
    <col min="13828" max="13828" width="5" style="588" customWidth="1"/>
    <col min="13829" max="14080" width="9.1796875" style="588"/>
    <col min="14081" max="14081" width="9.1796875" style="588" customWidth="1"/>
    <col min="14082" max="14082" width="51.54296875" style="588" customWidth="1"/>
    <col min="14083" max="14083" width="20.1796875" style="588" customWidth="1"/>
    <col min="14084" max="14084" width="5" style="588" customWidth="1"/>
    <col min="14085" max="14336" width="9.1796875" style="588"/>
    <col min="14337" max="14337" width="9.1796875" style="588" customWidth="1"/>
    <col min="14338" max="14338" width="51.54296875" style="588" customWidth="1"/>
    <col min="14339" max="14339" width="20.1796875" style="588" customWidth="1"/>
    <col min="14340" max="14340" width="5" style="588" customWidth="1"/>
    <col min="14341" max="14592" width="9.1796875" style="588"/>
    <col min="14593" max="14593" width="9.1796875" style="588" customWidth="1"/>
    <col min="14594" max="14594" width="51.54296875" style="588" customWidth="1"/>
    <col min="14595" max="14595" width="20.1796875" style="588" customWidth="1"/>
    <col min="14596" max="14596" width="5" style="588" customWidth="1"/>
    <col min="14597" max="14848" width="9.1796875" style="588"/>
    <col min="14849" max="14849" width="9.1796875" style="588" customWidth="1"/>
    <col min="14850" max="14850" width="51.54296875" style="588" customWidth="1"/>
    <col min="14851" max="14851" width="20.1796875" style="588" customWidth="1"/>
    <col min="14852" max="14852" width="5" style="588" customWidth="1"/>
    <col min="14853" max="15104" width="9.1796875" style="588"/>
    <col min="15105" max="15105" width="9.1796875" style="588" customWidth="1"/>
    <col min="15106" max="15106" width="51.54296875" style="588" customWidth="1"/>
    <col min="15107" max="15107" width="20.1796875" style="588" customWidth="1"/>
    <col min="15108" max="15108" width="5" style="588" customWidth="1"/>
    <col min="15109" max="15360" width="9.1796875" style="588"/>
    <col min="15361" max="15361" width="9.1796875" style="588" customWidth="1"/>
    <col min="15362" max="15362" width="51.54296875" style="588" customWidth="1"/>
    <col min="15363" max="15363" width="20.1796875" style="588" customWidth="1"/>
    <col min="15364" max="15364" width="5" style="588" customWidth="1"/>
    <col min="15365" max="15616" width="9.1796875" style="588"/>
    <col min="15617" max="15617" width="9.1796875" style="588" customWidth="1"/>
    <col min="15618" max="15618" width="51.54296875" style="588" customWidth="1"/>
    <col min="15619" max="15619" width="20.1796875" style="588" customWidth="1"/>
    <col min="15620" max="15620" width="5" style="588" customWidth="1"/>
    <col min="15621" max="15872" width="9.1796875" style="588"/>
    <col min="15873" max="15873" width="9.1796875" style="588" customWidth="1"/>
    <col min="15874" max="15874" width="51.54296875" style="588" customWidth="1"/>
    <col min="15875" max="15875" width="20.1796875" style="588" customWidth="1"/>
    <col min="15876" max="15876" width="5" style="588" customWidth="1"/>
    <col min="15877" max="16128" width="9.1796875" style="588"/>
    <col min="16129" max="16129" width="9.1796875" style="588" customWidth="1"/>
    <col min="16130" max="16130" width="51.54296875" style="588" customWidth="1"/>
    <col min="16131" max="16131" width="20.1796875" style="588" customWidth="1"/>
    <col min="16132" max="16132" width="5" style="588" customWidth="1"/>
    <col min="16133" max="16384" width="9.1796875" style="588"/>
  </cols>
  <sheetData>
    <row r="1" spans="1:4" x14ac:dyDescent="0.35">
      <c r="B1" s="2749" t="s">
        <v>821</v>
      </c>
      <c r="C1" s="2749"/>
      <c r="D1" s="2749"/>
    </row>
    <row r="2" spans="1:4" x14ac:dyDescent="0.35">
      <c r="B2" s="2749" t="s">
        <v>801</v>
      </c>
      <c r="C2" s="2749"/>
      <c r="D2" s="2749"/>
    </row>
    <row r="3" spans="1:4" x14ac:dyDescent="0.35">
      <c r="B3" s="2749" t="s">
        <v>449</v>
      </c>
      <c r="C3" s="2749"/>
      <c r="D3" s="2749"/>
    </row>
    <row r="4" spans="1:4" x14ac:dyDescent="0.35">
      <c r="B4" s="2749" t="s">
        <v>802</v>
      </c>
      <c r="C4" s="2749"/>
      <c r="D4" s="2749"/>
    </row>
    <row r="5" spans="1:4" x14ac:dyDescent="0.35">
      <c r="B5" s="2750" t="s">
        <v>846</v>
      </c>
      <c r="C5" s="2750"/>
      <c r="D5" s="2750"/>
    </row>
    <row r="6" spans="1:4" x14ac:dyDescent="0.35">
      <c r="B6" s="589"/>
      <c r="C6" s="589"/>
      <c r="D6" s="589"/>
    </row>
    <row r="7" spans="1:4" x14ac:dyDescent="0.35">
      <c r="B7" s="589"/>
      <c r="C7" s="589"/>
      <c r="D7" s="546" t="s">
        <v>446</v>
      </c>
    </row>
    <row r="8" spans="1:4" x14ac:dyDescent="0.35">
      <c r="B8" s="589"/>
      <c r="C8" s="589"/>
      <c r="D8" s="558"/>
    </row>
    <row r="9" spans="1:4" x14ac:dyDescent="0.35">
      <c r="B9" s="589"/>
      <c r="C9" s="589"/>
      <c r="D9" s="546" t="s">
        <v>848</v>
      </c>
    </row>
    <row r="10" spans="1:4" x14ac:dyDescent="0.35">
      <c r="B10" s="589"/>
      <c r="C10" s="589"/>
      <c r="D10" s="546"/>
    </row>
    <row r="11" spans="1:4" x14ac:dyDescent="0.35">
      <c r="B11" s="589"/>
      <c r="C11" s="589"/>
      <c r="D11" s="546"/>
    </row>
    <row r="12" spans="1:4" x14ac:dyDescent="0.35">
      <c r="B12" s="2751"/>
      <c r="C12" s="2751"/>
    </row>
    <row r="13" spans="1:4" x14ac:dyDescent="0.35">
      <c r="A13" s="2752" t="s">
        <v>803</v>
      </c>
      <c r="B13" s="2752"/>
      <c r="C13" s="2752"/>
    </row>
    <row r="14" spans="1:4" ht="16.5" customHeight="1" x14ac:dyDescent="0.35">
      <c r="A14" s="2752" t="s">
        <v>804</v>
      </c>
      <c r="B14" s="2752"/>
      <c r="C14" s="2752"/>
      <c r="D14" s="590"/>
    </row>
    <row r="15" spans="1:4" ht="16.5" customHeight="1" x14ac:dyDescent="0.35">
      <c r="A15" s="2752" t="s">
        <v>847</v>
      </c>
      <c r="B15" s="2752"/>
      <c r="C15" s="2752"/>
      <c r="D15" s="590"/>
    </row>
    <row r="16" spans="1:4" ht="16" thickBot="1" x14ac:dyDescent="0.4">
      <c r="A16" s="591"/>
      <c r="B16" s="592"/>
      <c r="C16" s="593"/>
    </row>
    <row r="17" spans="1:3" s="595" customFormat="1" thickBot="1" x14ac:dyDescent="0.3">
      <c r="A17" s="2753" t="s">
        <v>805</v>
      </c>
      <c r="B17" s="2754"/>
      <c r="C17" s="594" t="s">
        <v>806</v>
      </c>
    </row>
    <row r="18" spans="1:3" s="595" customFormat="1" ht="13.5" customHeight="1" x14ac:dyDescent="0.25">
      <c r="A18" s="2755" t="s">
        <v>807</v>
      </c>
      <c r="B18" s="2756"/>
      <c r="C18" s="596">
        <v>0.1</v>
      </c>
    </row>
    <row r="19" spans="1:3" s="595" customFormat="1" ht="20.25" customHeight="1" x14ac:dyDescent="0.25">
      <c r="A19" s="2747" t="s">
        <v>660</v>
      </c>
      <c r="B19" s="2748"/>
      <c r="C19" s="597">
        <v>1</v>
      </c>
    </row>
    <row r="20" spans="1:3" s="595" customFormat="1" ht="18" customHeight="1" x14ac:dyDescent="0.25">
      <c r="A20" s="2743" t="s">
        <v>664</v>
      </c>
      <c r="B20" s="2744"/>
      <c r="C20" s="598">
        <v>1</v>
      </c>
    </row>
    <row r="21" spans="1:3" s="595" customFormat="1" ht="17.25" hidden="1" customHeight="1" x14ac:dyDescent="0.25">
      <c r="A21" s="2745" t="s">
        <v>662</v>
      </c>
      <c r="B21" s="2746"/>
      <c r="C21" s="599">
        <v>0.5</v>
      </c>
    </row>
    <row r="22" spans="1:3" s="595" customFormat="1" ht="18.75" hidden="1" customHeight="1" x14ac:dyDescent="0.25">
      <c r="A22" s="2743" t="s">
        <v>808</v>
      </c>
      <c r="B22" s="2744"/>
      <c r="C22" s="598">
        <v>0.5</v>
      </c>
    </row>
    <row r="23" spans="1:3" s="595" customFormat="1" ht="17.25" hidden="1" customHeight="1" x14ac:dyDescent="0.25">
      <c r="A23" s="2743" t="s">
        <v>809</v>
      </c>
      <c r="B23" s="2744"/>
      <c r="C23" s="598">
        <v>0.5</v>
      </c>
    </row>
    <row r="24" spans="1:3" s="595" customFormat="1" ht="15.75" customHeight="1" x14ac:dyDescent="0.25">
      <c r="A24" s="2743" t="s">
        <v>810</v>
      </c>
      <c r="B24" s="2744"/>
      <c r="C24" s="600">
        <v>1</v>
      </c>
    </row>
    <row r="25" spans="1:3" s="595" customFormat="1" ht="15.75" customHeight="1" x14ac:dyDescent="0.25">
      <c r="A25" s="2743" t="s">
        <v>811</v>
      </c>
      <c r="B25" s="2744"/>
      <c r="C25" s="600">
        <v>1</v>
      </c>
    </row>
    <row r="26" spans="1:3" s="595" customFormat="1" ht="20.25" customHeight="1" thickBot="1" x14ac:dyDescent="0.3">
      <c r="A26" s="2741" t="s">
        <v>812</v>
      </c>
      <c r="B26" s="2742"/>
      <c r="C26" s="601">
        <v>1</v>
      </c>
    </row>
    <row r="27" spans="1:3" x14ac:dyDescent="0.35">
      <c r="A27" s="602"/>
      <c r="B27" s="603"/>
      <c r="C27" s="603"/>
    </row>
    <row r="28" spans="1:3" x14ac:dyDescent="0.35">
      <c r="A28" s="602"/>
      <c r="B28" s="603"/>
      <c r="C28" s="603"/>
    </row>
    <row r="29" spans="1:3" x14ac:dyDescent="0.35">
      <c r="A29" s="602"/>
      <c r="B29" s="603"/>
      <c r="C29" s="603"/>
    </row>
    <row r="30" spans="1:3" x14ac:dyDescent="0.35">
      <c r="A30" s="602"/>
      <c r="B30" s="603"/>
      <c r="C30" s="603"/>
    </row>
    <row r="31" spans="1:3" x14ac:dyDescent="0.35">
      <c r="A31" s="602"/>
      <c r="B31" s="603"/>
      <c r="C31" s="603"/>
    </row>
    <row r="32" spans="1:3" x14ac:dyDescent="0.35">
      <c r="A32" s="602"/>
      <c r="B32" s="603"/>
      <c r="C32" s="603"/>
    </row>
    <row r="33" spans="1:3" x14ac:dyDescent="0.35">
      <c r="A33" s="602"/>
      <c r="B33" s="603"/>
      <c r="C33" s="603"/>
    </row>
    <row r="34" spans="1:3" x14ac:dyDescent="0.35">
      <c r="A34" s="602"/>
      <c r="B34" s="603"/>
      <c r="C34" s="603"/>
    </row>
    <row r="35" spans="1:3" x14ac:dyDescent="0.35">
      <c r="A35" s="602"/>
      <c r="B35" s="603"/>
      <c r="C35" s="603"/>
    </row>
    <row r="36" spans="1:3" x14ac:dyDescent="0.35">
      <c r="A36" s="602"/>
      <c r="B36" s="603"/>
      <c r="C36" s="603"/>
    </row>
    <row r="37" spans="1:3" x14ac:dyDescent="0.35">
      <c r="A37" s="602"/>
      <c r="B37" s="603"/>
      <c r="C37" s="603"/>
    </row>
    <row r="38" spans="1:3" x14ac:dyDescent="0.35">
      <c r="A38" s="602"/>
      <c r="B38" s="603"/>
      <c r="C38" s="603"/>
    </row>
    <row r="39" spans="1:3" x14ac:dyDescent="0.35">
      <c r="A39" s="602"/>
      <c r="B39" s="603"/>
      <c r="C39" s="603"/>
    </row>
  </sheetData>
  <mergeCells count="19"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  <mergeCell ref="A26:B26"/>
    <mergeCell ref="A20:B20"/>
    <mergeCell ref="A21:B21"/>
    <mergeCell ref="A22:B22"/>
    <mergeCell ref="A23:B23"/>
    <mergeCell ref="A24:B24"/>
    <mergeCell ref="A25:B25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796875" defaultRowHeight="12.5" x14ac:dyDescent="0.25"/>
  <cols>
    <col min="1" max="1" width="8.81640625" style="580" customWidth="1"/>
    <col min="2" max="2" width="60.26953125" style="606" customWidth="1"/>
    <col min="3" max="3" width="10" style="581" hidden="1" customWidth="1"/>
    <col min="4" max="4" width="9.26953125" style="611" hidden="1" customWidth="1"/>
    <col min="5" max="5" width="10.453125" style="611" hidden="1" customWidth="1"/>
    <col min="6" max="6" width="10.54296875" style="4" customWidth="1"/>
    <col min="7" max="7" width="7.54296875" style="4" customWidth="1"/>
    <col min="8" max="8" width="10.453125" style="4" customWidth="1"/>
    <col min="9" max="9" width="15.54296875" style="263" customWidth="1"/>
    <col min="10" max="10" width="14.7265625" style="605" hidden="1" customWidth="1"/>
    <col min="11" max="11" width="15.81640625" style="605" hidden="1" customWidth="1"/>
    <col min="12" max="12" width="18.7265625" style="605" hidden="1" customWidth="1"/>
    <col min="13" max="13" width="9.1796875" style="580" customWidth="1"/>
    <col min="14" max="23" width="9.1796875" style="608" customWidth="1"/>
    <col min="24" max="256" width="9.1796875" style="580"/>
    <col min="257" max="257" width="8.81640625" style="580" customWidth="1"/>
    <col min="258" max="258" width="60.26953125" style="580" customWidth="1"/>
    <col min="259" max="261" width="0" style="580" hidden="1" customWidth="1"/>
    <col min="262" max="262" width="11.54296875" style="580" customWidth="1"/>
    <col min="263" max="263" width="10.26953125" style="580" customWidth="1"/>
    <col min="264" max="264" width="10.453125" style="580" customWidth="1"/>
    <col min="265" max="265" width="22.1796875" style="580" customWidth="1"/>
    <col min="266" max="268" width="0" style="580" hidden="1" customWidth="1"/>
    <col min="269" max="279" width="9.1796875" style="580" customWidth="1"/>
    <col min="280" max="512" width="9.1796875" style="580"/>
    <col min="513" max="513" width="8.81640625" style="580" customWidth="1"/>
    <col min="514" max="514" width="60.26953125" style="580" customWidth="1"/>
    <col min="515" max="517" width="0" style="580" hidden="1" customWidth="1"/>
    <col min="518" max="518" width="11.54296875" style="580" customWidth="1"/>
    <col min="519" max="519" width="10.26953125" style="580" customWidth="1"/>
    <col min="520" max="520" width="10.453125" style="580" customWidth="1"/>
    <col min="521" max="521" width="22.1796875" style="580" customWidth="1"/>
    <col min="522" max="524" width="0" style="580" hidden="1" customWidth="1"/>
    <col min="525" max="535" width="9.1796875" style="580" customWidth="1"/>
    <col min="536" max="768" width="9.1796875" style="580"/>
    <col min="769" max="769" width="8.81640625" style="580" customWidth="1"/>
    <col min="770" max="770" width="60.26953125" style="580" customWidth="1"/>
    <col min="771" max="773" width="0" style="580" hidden="1" customWidth="1"/>
    <col min="774" max="774" width="11.54296875" style="580" customWidth="1"/>
    <col min="775" max="775" width="10.26953125" style="580" customWidth="1"/>
    <col min="776" max="776" width="10.453125" style="580" customWidth="1"/>
    <col min="777" max="777" width="22.1796875" style="580" customWidth="1"/>
    <col min="778" max="780" width="0" style="580" hidden="1" customWidth="1"/>
    <col min="781" max="791" width="9.1796875" style="580" customWidth="1"/>
    <col min="792" max="1024" width="9.1796875" style="580"/>
    <col min="1025" max="1025" width="8.81640625" style="580" customWidth="1"/>
    <col min="1026" max="1026" width="60.26953125" style="580" customWidth="1"/>
    <col min="1027" max="1029" width="0" style="580" hidden="1" customWidth="1"/>
    <col min="1030" max="1030" width="11.54296875" style="580" customWidth="1"/>
    <col min="1031" max="1031" width="10.26953125" style="580" customWidth="1"/>
    <col min="1032" max="1032" width="10.453125" style="580" customWidth="1"/>
    <col min="1033" max="1033" width="22.1796875" style="580" customWidth="1"/>
    <col min="1034" max="1036" width="0" style="580" hidden="1" customWidth="1"/>
    <col min="1037" max="1047" width="9.1796875" style="580" customWidth="1"/>
    <col min="1048" max="1280" width="9.1796875" style="580"/>
    <col min="1281" max="1281" width="8.81640625" style="580" customWidth="1"/>
    <col min="1282" max="1282" width="60.26953125" style="580" customWidth="1"/>
    <col min="1283" max="1285" width="0" style="580" hidden="1" customWidth="1"/>
    <col min="1286" max="1286" width="11.54296875" style="580" customWidth="1"/>
    <col min="1287" max="1287" width="10.26953125" style="580" customWidth="1"/>
    <col min="1288" max="1288" width="10.453125" style="580" customWidth="1"/>
    <col min="1289" max="1289" width="22.1796875" style="580" customWidth="1"/>
    <col min="1290" max="1292" width="0" style="580" hidden="1" customWidth="1"/>
    <col min="1293" max="1303" width="9.1796875" style="580" customWidth="1"/>
    <col min="1304" max="1536" width="9.1796875" style="580"/>
    <col min="1537" max="1537" width="8.81640625" style="580" customWidth="1"/>
    <col min="1538" max="1538" width="60.26953125" style="580" customWidth="1"/>
    <col min="1539" max="1541" width="0" style="580" hidden="1" customWidth="1"/>
    <col min="1542" max="1542" width="11.54296875" style="580" customWidth="1"/>
    <col min="1543" max="1543" width="10.26953125" style="580" customWidth="1"/>
    <col min="1544" max="1544" width="10.453125" style="580" customWidth="1"/>
    <col min="1545" max="1545" width="22.1796875" style="580" customWidth="1"/>
    <col min="1546" max="1548" width="0" style="580" hidden="1" customWidth="1"/>
    <col min="1549" max="1559" width="9.1796875" style="580" customWidth="1"/>
    <col min="1560" max="1792" width="9.1796875" style="580"/>
    <col min="1793" max="1793" width="8.81640625" style="580" customWidth="1"/>
    <col min="1794" max="1794" width="60.26953125" style="580" customWidth="1"/>
    <col min="1795" max="1797" width="0" style="580" hidden="1" customWidth="1"/>
    <col min="1798" max="1798" width="11.54296875" style="580" customWidth="1"/>
    <col min="1799" max="1799" width="10.26953125" style="580" customWidth="1"/>
    <col min="1800" max="1800" width="10.453125" style="580" customWidth="1"/>
    <col min="1801" max="1801" width="22.1796875" style="580" customWidth="1"/>
    <col min="1802" max="1804" width="0" style="580" hidden="1" customWidth="1"/>
    <col min="1805" max="1815" width="9.1796875" style="580" customWidth="1"/>
    <col min="1816" max="2048" width="9.1796875" style="580"/>
    <col min="2049" max="2049" width="8.81640625" style="580" customWidth="1"/>
    <col min="2050" max="2050" width="60.26953125" style="580" customWidth="1"/>
    <col min="2051" max="2053" width="0" style="580" hidden="1" customWidth="1"/>
    <col min="2054" max="2054" width="11.54296875" style="580" customWidth="1"/>
    <col min="2055" max="2055" width="10.26953125" style="580" customWidth="1"/>
    <col min="2056" max="2056" width="10.453125" style="580" customWidth="1"/>
    <col min="2057" max="2057" width="22.1796875" style="580" customWidth="1"/>
    <col min="2058" max="2060" width="0" style="580" hidden="1" customWidth="1"/>
    <col min="2061" max="2071" width="9.1796875" style="580" customWidth="1"/>
    <col min="2072" max="2304" width="9.1796875" style="580"/>
    <col min="2305" max="2305" width="8.81640625" style="580" customWidth="1"/>
    <col min="2306" max="2306" width="60.26953125" style="580" customWidth="1"/>
    <col min="2307" max="2309" width="0" style="580" hidden="1" customWidth="1"/>
    <col min="2310" max="2310" width="11.54296875" style="580" customWidth="1"/>
    <col min="2311" max="2311" width="10.26953125" style="580" customWidth="1"/>
    <col min="2312" max="2312" width="10.453125" style="580" customWidth="1"/>
    <col min="2313" max="2313" width="22.1796875" style="580" customWidth="1"/>
    <col min="2314" max="2316" width="0" style="580" hidden="1" customWidth="1"/>
    <col min="2317" max="2327" width="9.1796875" style="580" customWidth="1"/>
    <col min="2328" max="2560" width="9.1796875" style="580"/>
    <col min="2561" max="2561" width="8.81640625" style="580" customWidth="1"/>
    <col min="2562" max="2562" width="60.26953125" style="580" customWidth="1"/>
    <col min="2563" max="2565" width="0" style="580" hidden="1" customWidth="1"/>
    <col min="2566" max="2566" width="11.54296875" style="580" customWidth="1"/>
    <col min="2567" max="2567" width="10.26953125" style="580" customWidth="1"/>
    <col min="2568" max="2568" width="10.453125" style="580" customWidth="1"/>
    <col min="2569" max="2569" width="22.1796875" style="580" customWidth="1"/>
    <col min="2570" max="2572" width="0" style="580" hidden="1" customWidth="1"/>
    <col min="2573" max="2583" width="9.1796875" style="580" customWidth="1"/>
    <col min="2584" max="2816" width="9.1796875" style="580"/>
    <col min="2817" max="2817" width="8.81640625" style="580" customWidth="1"/>
    <col min="2818" max="2818" width="60.26953125" style="580" customWidth="1"/>
    <col min="2819" max="2821" width="0" style="580" hidden="1" customWidth="1"/>
    <col min="2822" max="2822" width="11.54296875" style="580" customWidth="1"/>
    <col min="2823" max="2823" width="10.26953125" style="580" customWidth="1"/>
    <col min="2824" max="2824" width="10.453125" style="580" customWidth="1"/>
    <col min="2825" max="2825" width="22.1796875" style="580" customWidth="1"/>
    <col min="2826" max="2828" width="0" style="580" hidden="1" customWidth="1"/>
    <col min="2829" max="2839" width="9.1796875" style="580" customWidth="1"/>
    <col min="2840" max="3072" width="9.1796875" style="580"/>
    <col min="3073" max="3073" width="8.81640625" style="580" customWidth="1"/>
    <col min="3074" max="3074" width="60.26953125" style="580" customWidth="1"/>
    <col min="3075" max="3077" width="0" style="580" hidden="1" customWidth="1"/>
    <col min="3078" max="3078" width="11.54296875" style="580" customWidth="1"/>
    <col min="3079" max="3079" width="10.26953125" style="580" customWidth="1"/>
    <col min="3080" max="3080" width="10.453125" style="580" customWidth="1"/>
    <col min="3081" max="3081" width="22.1796875" style="580" customWidth="1"/>
    <col min="3082" max="3084" width="0" style="580" hidden="1" customWidth="1"/>
    <col min="3085" max="3095" width="9.1796875" style="580" customWidth="1"/>
    <col min="3096" max="3328" width="9.1796875" style="580"/>
    <col min="3329" max="3329" width="8.81640625" style="580" customWidth="1"/>
    <col min="3330" max="3330" width="60.26953125" style="580" customWidth="1"/>
    <col min="3331" max="3333" width="0" style="580" hidden="1" customWidth="1"/>
    <col min="3334" max="3334" width="11.54296875" style="580" customWidth="1"/>
    <col min="3335" max="3335" width="10.26953125" style="580" customWidth="1"/>
    <col min="3336" max="3336" width="10.453125" style="580" customWidth="1"/>
    <col min="3337" max="3337" width="22.1796875" style="580" customWidth="1"/>
    <col min="3338" max="3340" width="0" style="580" hidden="1" customWidth="1"/>
    <col min="3341" max="3351" width="9.1796875" style="580" customWidth="1"/>
    <col min="3352" max="3584" width="9.1796875" style="580"/>
    <col min="3585" max="3585" width="8.81640625" style="580" customWidth="1"/>
    <col min="3586" max="3586" width="60.26953125" style="580" customWidth="1"/>
    <col min="3587" max="3589" width="0" style="580" hidden="1" customWidth="1"/>
    <col min="3590" max="3590" width="11.54296875" style="580" customWidth="1"/>
    <col min="3591" max="3591" width="10.26953125" style="580" customWidth="1"/>
    <col min="3592" max="3592" width="10.453125" style="580" customWidth="1"/>
    <col min="3593" max="3593" width="22.1796875" style="580" customWidth="1"/>
    <col min="3594" max="3596" width="0" style="580" hidden="1" customWidth="1"/>
    <col min="3597" max="3607" width="9.1796875" style="580" customWidth="1"/>
    <col min="3608" max="3840" width="9.1796875" style="580"/>
    <col min="3841" max="3841" width="8.81640625" style="580" customWidth="1"/>
    <col min="3842" max="3842" width="60.26953125" style="580" customWidth="1"/>
    <col min="3843" max="3845" width="0" style="580" hidden="1" customWidth="1"/>
    <col min="3846" max="3846" width="11.54296875" style="580" customWidth="1"/>
    <col min="3847" max="3847" width="10.26953125" style="580" customWidth="1"/>
    <col min="3848" max="3848" width="10.453125" style="580" customWidth="1"/>
    <col min="3849" max="3849" width="22.1796875" style="580" customWidth="1"/>
    <col min="3850" max="3852" width="0" style="580" hidden="1" customWidth="1"/>
    <col min="3853" max="3863" width="9.1796875" style="580" customWidth="1"/>
    <col min="3864" max="4096" width="9.1796875" style="580"/>
    <col min="4097" max="4097" width="8.81640625" style="580" customWidth="1"/>
    <col min="4098" max="4098" width="60.26953125" style="580" customWidth="1"/>
    <col min="4099" max="4101" width="0" style="580" hidden="1" customWidth="1"/>
    <col min="4102" max="4102" width="11.54296875" style="580" customWidth="1"/>
    <col min="4103" max="4103" width="10.26953125" style="580" customWidth="1"/>
    <col min="4104" max="4104" width="10.453125" style="580" customWidth="1"/>
    <col min="4105" max="4105" width="22.1796875" style="580" customWidth="1"/>
    <col min="4106" max="4108" width="0" style="580" hidden="1" customWidth="1"/>
    <col min="4109" max="4119" width="9.1796875" style="580" customWidth="1"/>
    <col min="4120" max="4352" width="9.1796875" style="580"/>
    <col min="4353" max="4353" width="8.81640625" style="580" customWidth="1"/>
    <col min="4354" max="4354" width="60.26953125" style="580" customWidth="1"/>
    <col min="4355" max="4357" width="0" style="580" hidden="1" customWidth="1"/>
    <col min="4358" max="4358" width="11.54296875" style="580" customWidth="1"/>
    <col min="4359" max="4359" width="10.26953125" style="580" customWidth="1"/>
    <col min="4360" max="4360" width="10.453125" style="580" customWidth="1"/>
    <col min="4361" max="4361" width="22.1796875" style="580" customWidth="1"/>
    <col min="4362" max="4364" width="0" style="580" hidden="1" customWidth="1"/>
    <col min="4365" max="4375" width="9.1796875" style="580" customWidth="1"/>
    <col min="4376" max="4608" width="9.1796875" style="580"/>
    <col min="4609" max="4609" width="8.81640625" style="580" customWidth="1"/>
    <col min="4610" max="4610" width="60.26953125" style="580" customWidth="1"/>
    <col min="4611" max="4613" width="0" style="580" hidden="1" customWidth="1"/>
    <col min="4614" max="4614" width="11.54296875" style="580" customWidth="1"/>
    <col min="4615" max="4615" width="10.26953125" style="580" customWidth="1"/>
    <col min="4616" max="4616" width="10.453125" style="580" customWidth="1"/>
    <col min="4617" max="4617" width="22.1796875" style="580" customWidth="1"/>
    <col min="4618" max="4620" width="0" style="580" hidden="1" customWidth="1"/>
    <col min="4621" max="4631" width="9.1796875" style="580" customWidth="1"/>
    <col min="4632" max="4864" width="9.1796875" style="580"/>
    <col min="4865" max="4865" width="8.81640625" style="580" customWidth="1"/>
    <col min="4866" max="4866" width="60.26953125" style="580" customWidth="1"/>
    <col min="4867" max="4869" width="0" style="580" hidden="1" customWidth="1"/>
    <col min="4870" max="4870" width="11.54296875" style="580" customWidth="1"/>
    <col min="4871" max="4871" width="10.26953125" style="580" customWidth="1"/>
    <col min="4872" max="4872" width="10.453125" style="580" customWidth="1"/>
    <col min="4873" max="4873" width="22.1796875" style="580" customWidth="1"/>
    <col min="4874" max="4876" width="0" style="580" hidden="1" customWidth="1"/>
    <col min="4877" max="4887" width="9.1796875" style="580" customWidth="1"/>
    <col min="4888" max="5120" width="9.1796875" style="580"/>
    <col min="5121" max="5121" width="8.81640625" style="580" customWidth="1"/>
    <col min="5122" max="5122" width="60.26953125" style="580" customWidth="1"/>
    <col min="5123" max="5125" width="0" style="580" hidden="1" customWidth="1"/>
    <col min="5126" max="5126" width="11.54296875" style="580" customWidth="1"/>
    <col min="5127" max="5127" width="10.26953125" style="580" customWidth="1"/>
    <col min="5128" max="5128" width="10.453125" style="580" customWidth="1"/>
    <col min="5129" max="5129" width="22.1796875" style="580" customWidth="1"/>
    <col min="5130" max="5132" width="0" style="580" hidden="1" customWidth="1"/>
    <col min="5133" max="5143" width="9.1796875" style="580" customWidth="1"/>
    <col min="5144" max="5376" width="9.1796875" style="580"/>
    <col min="5377" max="5377" width="8.81640625" style="580" customWidth="1"/>
    <col min="5378" max="5378" width="60.26953125" style="580" customWidth="1"/>
    <col min="5379" max="5381" width="0" style="580" hidden="1" customWidth="1"/>
    <col min="5382" max="5382" width="11.54296875" style="580" customWidth="1"/>
    <col min="5383" max="5383" width="10.26953125" style="580" customWidth="1"/>
    <col min="5384" max="5384" width="10.453125" style="580" customWidth="1"/>
    <col min="5385" max="5385" width="22.1796875" style="580" customWidth="1"/>
    <col min="5386" max="5388" width="0" style="580" hidden="1" customWidth="1"/>
    <col min="5389" max="5399" width="9.1796875" style="580" customWidth="1"/>
    <col min="5400" max="5632" width="9.1796875" style="580"/>
    <col min="5633" max="5633" width="8.81640625" style="580" customWidth="1"/>
    <col min="5634" max="5634" width="60.26953125" style="580" customWidth="1"/>
    <col min="5635" max="5637" width="0" style="580" hidden="1" customWidth="1"/>
    <col min="5638" max="5638" width="11.54296875" style="580" customWidth="1"/>
    <col min="5639" max="5639" width="10.26953125" style="580" customWidth="1"/>
    <col min="5640" max="5640" width="10.453125" style="580" customWidth="1"/>
    <col min="5641" max="5641" width="22.1796875" style="580" customWidth="1"/>
    <col min="5642" max="5644" width="0" style="580" hidden="1" customWidth="1"/>
    <col min="5645" max="5655" width="9.1796875" style="580" customWidth="1"/>
    <col min="5656" max="5888" width="9.1796875" style="580"/>
    <col min="5889" max="5889" width="8.81640625" style="580" customWidth="1"/>
    <col min="5890" max="5890" width="60.26953125" style="580" customWidth="1"/>
    <col min="5891" max="5893" width="0" style="580" hidden="1" customWidth="1"/>
    <col min="5894" max="5894" width="11.54296875" style="580" customWidth="1"/>
    <col min="5895" max="5895" width="10.26953125" style="580" customWidth="1"/>
    <col min="5896" max="5896" width="10.453125" style="580" customWidth="1"/>
    <col min="5897" max="5897" width="22.1796875" style="580" customWidth="1"/>
    <col min="5898" max="5900" width="0" style="580" hidden="1" customWidth="1"/>
    <col min="5901" max="5911" width="9.1796875" style="580" customWidth="1"/>
    <col min="5912" max="6144" width="9.1796875" style="580"/>
    <col min="6145" max="6145" width="8.81640625" style="580" customWidth="1"/>
    <col min="6146" max="6146" width="60.26953125" style="580" customWidth="1"/>
    <col min="6147" max="6149" width="0" style="580" hidden="1" customWidth="1"/>
    <col min="6150" max="6150" width="11.54296875" style="580" customWidth="1"/>
    <col min="6151" max="6151" width="10.26953125" style="580" customWidth="1"/>
    <col min="6152" max="6152" width="10.453125" style="580" customWidth="1"/>
    <col min="6153" max="6153" width="22.1796875" style="580" customWidth="1"/>
    <col min="6154" max="6156" width="0" style="580" hidden="1" customWidth="1"/>
    <col min="6157" max="6167" width="9.1796875" style="580" customWidth="1"/>
    <col min="6168" max="6400" width="9.1796875" style="580"/>
    <col min="6401" max="6401" width="8.81640625" style="580" customWidth="1"/>
    <col min="6402" max="6402" width="60.26953125" style="580" customWidth="1"/>
    <col min="6403" max="6405" width="0" style="580" hidden="1" customWidth="1"/>
    <col min="6406" max="6406" width="11.54296875" style="580" customWidth="1"/>
    <col min="6407" max="6407" width="10.26953125" style="580" customWidth="1"/>
    <col min="6408" max="6408" width="10.453125" style="580" customWidth="1"/>
    <col min="6409" max="6409" width="22.1796875" style="580" customWidth="1"/>
    <col min="6410" max="6412" width="0" style="580" hidden="1" customWidth="1"/>
    <col min="6413" max="6423" width="9.1796875" style="580" customWidth="1"/>
    <col min="6424" max="6656" width="9.1796875" style="580"/>
    <col min="6657" max="6657" width="8.81640625" style="580" customWidth="1"/>
    <col min="6658" max="6658" width="60.26953125" style="580" customWidth="1"/>
    <col min="6659" max="6661" width="0" style="580" hidden="1" customWidth="1"/>
    <col min="6662" max="6662" width="11.54296875" style="580" customWidth="1"/>
    <col min="6663" max="6663" width="10.26953125" style="580" customWidth="1"/>
    <col min="6664" max="6664" width="10.453125" style="580" customWidth="1"/>
    <col min="6665" max="6665" width="22.1796875" style="580" customWidth="1"/>
    <col min="6666" max="6668" width="0" style="580" hidden="1" customWidth="1"/>
    <col min="6669" max="6679" width="9.1796875" style="580" customWidth="1"/>
    <col min="6680" max="6912" width="9.1796875" style="580"/>
    <col min="6913" max="6913" width="8.81640625" style="580" customWidth="1"/>
    <col min="6914" max="6914" width="60.26953125" style="580" customWidth="1"/>
    <col min="6915" max="6917" width="0" style="580" hidden="1" customWidth="1"/>
    <col min="6918" max="6918" width="11.54296875" style="580" customWidth="1"/>
    <col min="6919" max="6919" width="10.26953125" style="580" customWidth="1"/>
    <col min="6920" max="6920" width="10.453125" style="580" customWidth="1"/>
    <col min="6921" max="6921" width="22.1796875" style="580" customWidth="1"/>
    <col min="6922" max="6924" width="0" style="580" hidden="1" customWidth="1"/>
    <col min="6925" max="6935" width="9.1796875" style="580" customWidth="1"/>
    <col min="6936" max="7168" width="9.1796875" style="580"/>
    <col min="7169" max="7169" width="8.81640625" style="580" customWidth="1"/>
    <col min="7170" max="7170" width="60.26953125" style="580" customWidth="1"/>
    <col min="7171" max="7173" width="0" style="580" hidden="1" customWidth="1"/>
    <col min="7174" max="7174" width="11.54296875" style="580" customWidth="1"/>
    <col min="7175" max="7175" width="10.26953125" style="580" customWidth="1"/>
    <col min="7176" max="7176" width="10.453125" style="580" customWidth="1"/>
    <col min="7177" max="7177" width="22.1796875" style="580" customWidth="1"/>
    <col min="7178" max="7180" width="0" style="580" hidden="1" customWidth="1"/>
    <col min="7181" max="7191" width="9.1796875" style="580" customWidth="1"/>
    <col min="7192" max="7424" width="9.1796875" style="580"/>
    <col min="7425" max="7425" width="8.81640625" style="580" customWidth="1"/>
    <col min="7426" max="7426" width="60.26953125" style="580" customWidth="1"/>
    <col min="7427" max="7429" width="0" style="580" hidden="1" customWidth="1"/>
    <col min="7430" max="7430" width="11.54296875" style="580" customWidth="1"/>
    <col min="7431" max="7431" width="10.26953125" style="580" customWidth="1"/>
    <col min="7432" max="7432" width="10.453125" style="580" customWidth="1"/>
    <col min="7433" max="7433" width="22.1796875" style="580" customWidth="1"/>
    <col min="7434" max="7436" width="0" style="580" hidden="1" customWidth="1"/>
    <col min="7437" max="7447" width="9.1796875" style="580" customWidth="1"/>
    <col min="7448" max="7680" width="9.1796875" style="580"/>
    <col min="7681" max="7681" width="8.81640625" style="580" customWidth="1"/>
    <col min="7682" max="7682" width="60.26953125" style="580" customWidth="1"/>
    <col min="7683" max="7685" width="0" style="580" hidden="1" customWidth="1"/>
    <col min="7686" max="7686" width="11.54296875" style="580" customWidth="1"/>
    <col min="7687" max="7687" width="10.26953125" style="580" customWidth="1"/>
    <col min="7688" max="7688" width="10.453125" style="580" customWidth="1"/>
    <col min="7689" max="7689" width="22.1796875" style="580" customWidth="1"/>
    <col min="7690" max="7692" width="0" style="580" hidden="1" customWidth="1"/>
    <col min="7693" max="7703" width="9.1796875" style="580" customWidth="1"/>
    <col min="7704" max="7936" width="9.1796875" style="580"/>
    <col min="7937" max="7937" width="8.81640625" style="580" customWidth="1"/>
    <col min="7938" max="7938" width="60.26953125" style="580" customWidth="1"/>
    <col min="7939" max="7941" width="0" style="580" hidden="1" customWidth="1"/>
    <col min="7942" max="7942" width="11.54296875" style="580" customWidth="1"/>
    <col min="7943" max="7943" width="10.26953125" style="580" customWidth="1"/>
    <col min="7944" max="7944" width="10.453125" style="580" customWidth="1"/>
    <col min="7945" max="7945" width="22.1796875" style="580" customWidth="1"/>
    <col min="7946" max="7948" width="0" style="580" hidden="1" customWidth="1"/>
    <col min="7949" max="7959" width="9.1796875" style="580" customWidth="1"/>
    <col min="7960" max="8192" width="9.1796875" style="580"/>
    <col min="8193" max="8193" width="8.81640625" style="580" customWidth="1"/>
    <col min="8194" max="8194" width="60.26953125" style="580" customWidth="1"/>
    <col min="8195" max="8197" width="0" style="580" hidden="1" customWidth="1"/>
    <col min="8198" max="8198" width="11.54296875" style="580" customWidth="1"/>
    <col min="8199" max="8199" width="10.26953125" style="580" customWidth="1"/>
    <col min="8200" max="8200" width="10.453125" style="580" customWidth="1"/>
    <col min="8201" max="8201" width="22.1796875" style="580" customWidth="1"/>
    <col min="8202" max="8204" width="0" style="580" hidden="1" customWidth="1"/>
    <col min="8205" max="8215" width="9.1796875" style="580" customWidth="1"/>
    <col min="8216" max="8448" width="9.1796875" style="580"/>
    <col min="8449" max="8449" width="8.81640625" style="580" customWidth="1"/>
    <col min="8450" max="8450" width="60.26953125" style="580" customWidth="1"/>
    <col min="8451" max="8453" width="0" style="580" hidden="1" customWidth="1"/>
    <col min="8454" max="8454" width="11.54296875" style="580" customWidth="1"/>
    <col min="8455" max="8455" width="10.26953125" style="580" customWidth="1"/>
    <col min="8456" max="8456" width="10.453125" style="580" customWidth="1"/>
    <col min="8457" max="8457" width="22.1796875" style="580" customWidth="1"/>
    <col min="8458" max="8460" width="0" style="580" hidden="1" customWidth="1"/>
    <col min="8461" max="8471" width="9.1796875" style="580" customWidth="1"/>
    <col min="8472" max="8704" width="9.1796875" style="580"/>
    <col min="8705" max="8705" width="8.81640625" style="580" customWidth="1"/>
    <col min="8706" max="8706" width="60.26953125" style="580" customWidth="1"/>
    <col min="8707" max="8709" width="0" style="580" hidden="1" customWidth="1"/>
    <col min="8710" max="8710" width="11.54296875" style="580" customWidth="1"/>
    <col min="8711" max="8711" width="10.26953125" style="580" customWidth="1"/>
    <col min="8712" max="8712" width="10.453125" style="580" customWidth="1"/>
    <col min="8713" max="8713" width="22.1796875" style="580" customWidth="1"/>
    <col min="8714" max="8716" width="0" style="580" hidden="1" customWidth="1"/>
    <col min="8717" max="8727" width="9.1796875" style="580" customWidth="1"/>
    <col min="8728" max="8960" width="9.1796875" style="580"/>
    <col min="8961" max="8961" width="8.81640625" style="580" customWidth="1"/>
    <col min="8962" max="8962" width="60.26953125" style="580" customWidth="1"/>
    <col min="8963" max="8965" width="0" style="580" hidden="1" customWidth="1"/>
    <col min="8966" max="8966" width="11.54296875" style="580" customWidth="1"/>
    <col min="8967" max="8967" width="10.26953125" style="580" customWidth="1"/>
    <col min="8968" max="8968" width="10.453125" style="580" customWidth="1"/>
    <col min="8969" max="8969" width="22.1796875" style="580" customWidth="1"/>
    <col min="8970" max="8972" width="0" style="580" hidden="1" customWidth="1"/>
    <col min="8973" max="8983" width="9.1796875" style="580" customWidth="1"/>
    <col min="8984" max="9216" width="9.1796875" style="580"/>
    <col min="9217" max="9217" width="8.81640625" style="580" customWidth="1"/>
    <col min="9218" max="9218" width="60.26953125" style="580" customWidth="1"/>
    <col min="9219" max="9221" width="0" style="580" hidden="1" customWidth="1"/>
    <col min="9222" max="9222" width="11.54296875" style="580" customWidth="1"/>
    <col min="9223" max="9223" width="10.26953125" style="580" customWidth="1"/>
    <col min="9224" max="9224" width="10.453125" style="580" customWidth="1"/>
    <col min="9225" max="9225" width="22.1796875" style="580" customWidth="1"/>
    <col min="9226" max="9228" width="0" style="580" hidden="1" customWidth="1"/>
    <col min="9229" max="9239" width="9.1796875" style="580" customWidth="1"/>
    <col min="9240" max="9472" width="9.1796875" style="580"/>
    <col min="9473" max="9473" width="8.81640625" style="580" customWidth="1"/>
    <col min="9474" max="9474" width="60.26953125" style="580" customWidth="1"/>
    <col min="9475" max="9477" width="0" style="580" hidden="1" customWidth="1"/>
    <col min="9478" max="9478" width="11.54296875" style="580" customWidth="1"/>
    <col min="9479" max="9479" width="10.26953125" style="580" customWidth="1"/>
    <col min="9480" max="9480" width="10.453125" style="580" customWidth="1"/>
    <col min="9481" max="9481" width="22.1796875" style="580" customWidth="1"/>
    <col min="9482" max="9484" width="0" style="580" hidden="1" customWidth="1"/>
    <col min="9485" max="9495" width="9.1796875" style="580" customWidth="1"/>
    <col min="9496" max="9728" width="9.1796875" style="580"/>
    <col min="9729" max="9729" width="8.81640625" style="580" customWidth="1"/>
    <col min="9730" max="9730" width="60.26953125" style="580" customWidth="1"/>
    <col min="9731" max="9733" width="0" style="580" hidden="1" customWidth="1"/>
    <col min="9734" max="9734" width="11.54296875" style="580" customWidth="1"/>
    <col min="9735" max="9735" width="10.26953125" style="580" customWidth="1"/>
    <col min="9736" max="9736" width="10.453125" style="580" customWidth="1"/>
    <col min="9737" max="9737" width="22.1796875" style="580" customWidth="1"/>
    <col min="9738" max="9740" width="0" style="580" hidden="1" customWidth="1"/>
    <col min="9741" max="9751" width="9.1796875" style="580" customWidth="1"/>
    <col min="9752" max="9984" width="9.1796875" style="580"/>
    <col min="9985" max="9985" width="8.81640625" style="580" customWidth="1"/>
    <col min="9986" max="9986" width="60.26953125" style="580" customWidth="1"/>
    <col min="9987" max="9989" width="0" style="580" hidden="1" customWidth="1"/>
    <col min="9990" max="9990" width="11.54296875" style="580" customWidth="1"/>
    <col min="9991" max="9991" width="10.26953125" style="580" customWidth="1"/>
    <col min="9992" max="9992" width="10.453125" style="580" customWidth="1"/>
    <col min="9993" max="9993" width="22.1796875" style="580" customWidth="1"/>
    <col min="9994" max="9996" width="0" style="580" hidden="1" customWidth="1"/>
    <col min="9997" max="10007" width="9.1796875" style="580" customWidth="1"/>
    <col min="10008" max="10240" width="9.1796875" style="580"/>
    <col min="10241" max="10241" width="8.81640625" style="580" customWidth="1"/>
    <col min="10242" max="10242" width="60.26953125" style="580" customWidth="1"/>
    <col min="10243" max="10245" width="0" style="580" hidden="1" customWidth="1"/>
    <col min="10246" max="10246" width="11.54296875" style="580" customWidth="1"/>
    <col min="10247" max="10247" width="10.26953125" style="580" customWidth="1"/>
    <col min="10248" max="10248" width="10.453125" style="580" customWidth="1"/>
    <col min="10249" max="10249" width="22.1796875" style="580" customWidth="1"/>
    <col min="10250" max="10252" width="0" style="580" hidden="1" customWidth="1"/>
    <col min="10253" max="10263" width="9.1796875" style="580" customWidth="1"/>
    <col min="10264" max="10496" width="9.1796875" style="580"/>
    <col min="10497" max="10497" width="8.81640625" style="580" customWidth="1"/>
    <col min="10498" max="10498" width="60.26953125" style="580" customWidth="1"/>
    <col min="10499" max="10501" width="0" style="580" hidden="1" customWidth="1"/>
    <col min="10502" max="10502" width="11.54296875" style="580" customWidth="1"/>
    <col min="10503" max="10503" width="10.26953125" style="580" customWidth="1"/>
    <col min="10504" max="10504" width="10.453125" style="580" customWidth="1"/>
    <col min="10505" max="10505" width="22.1796875" style="580" customWidth="1"/>
    <col min="10506" max="10508" width="0" style="580" hidden="1" customWidth="1"/>
    <col min="10509" max="10519" width="9.1796875" style="580" customWidth="1"/>
    <col min="10520" max="10752" width="9.1796875" style="580"/>
    <col min="10753" max="10753" width="8.81640625" style="580" customWidth="1"/>
    <col min="10754" max="10754" width="60.26953125" style="580" customWidth="1"/>
    <col min="10755" max="10757" width="0" style="580" hidden="1" customWidth="1"/>
    <col min="10758" max="10758" width="11.54296875" style="580" customWidth="1"/>
    <col min="10759" max="10759" width="10.26953125" style="580" customWidth="1"/>
    <col min="10760" max="10760" width="10.453125" style="580" customWidth="1"/>
    <col min="10761" max="10761" width="22.1796875" style="580" customWidth="1"/>
    <col min="10762" max="10764" width="0" style="580" hidden="1" customWidth="1"/>
    <col min="10765" max="10775" width="9.1796875" style="580" customWidth="1"/>
    <col min="10776" max="11008" width="9.1796875" style="580"/>
    <col min="11009" max="11009" width="8.81640625" style="580" customWidth="1"/>
    <col min="11010" max="11010" width="60.26953125" style="580" customWidth="1"/>
    <col min="11011" max="11013" width="0" style="580" hidden="1" customWidth="1"/>
    <col min="11014" max="11014" width="11.54296875" style="580" customWidth="1"/>
    <col min="11015" max="11015" width="10.26953125" style="580" customWidth="1"/>
    <col min="11016" max="11016" width="10.453125" style="580" customWidth="1"/>
    <col min="11017" max="11017" width="22.1796875" style="580" customWidth="1"/>
    <col min="11018" max="11020" width="0" style="580" hidden="1" customWidth="1"/>
    <col min="11021" max="11031" width="9.1796875" style="580" customWidth="1"/>
    <col min="11032" max="11264" width="9.1796875" style="580"/>
    <col min="11265" max="11265" width="8.81640625" style="580" customWidth="1"/>
    <col min="11266" max="11266" width="60.26953125" style="580" customWidth="1"/>
    <col min="11267" max="11269" width="0" style="580" hidden="1" customWidth="1"/>
    <col min="11270" max="11270" width="11.54296875" style="580" customWidth="1"/>
    <col min="11271" max="11271" width="10.26953125" style="580" customWidth="1"/>
    <col min="11272" max="11272" width="10.453125" style="580" customWidth="1"/>
    <col min="11273" max="11273" width="22.1796875" style="580" customWidth="1"/>
    <col min="11274" max="11276" width="0" style="580" hidden="1" customWidth="1"/>
    <col min="11277" max="11287" width="9.1796875" style="580" customWidth="1"/>
    <col min="11288" max="11520" width="9.1796875" style="580"/>
    <col min="11521" max="11521" width="8.81640625" style="580" customWidth="1"/>
    <col min="11522" max="11522" width="60.26953125" style="580" customWidth="1"/>
    <col min="11523" max="11525" width="0" style="580" hidden="1" customWidth="1"/>
    <col min="11526" max="11526" width="11.54296875" style="580" customWidth="1"/>
    <col min="11527" max="11527" width="10.26953125" style="580" customWidth="1"/>
    <col min="11528" max="11528" width="10.453125" style="580" customWidth="1"/>
    <col min="11529" max="11529" width="22.1796875" style="580" customWidth="1"/>
    <col min="11530" max="11532" width="0" style="580" hidden="1" customWidth="1"/>
    <col min="11533" max="11543" width="9.1796875" style="580" customWidth="1"/>
    <col min="11544" max="11776" width="9.1796875" style="580"/>
    <col min="11777" max="11777" width="8.81640625" style="580" customWidth="1"/>
    <col min="11778" max="11778" width="60.26953125" style="580" customWidth="1"/>
    <col min="11779" max="11781" width="0" style="580" hidden="1" customWidth="1"/>
    <col min="11782" max="11782" width="11.54296875" style="580" customWidth="1"/>
    <col min="11783" max="11783" width="10.26953125" style="580" customWidth="1"/>
    <col min="11784" max="11784" width="10.453125" style="580" customWidth="1"/>
    <col min="11785" max="11785" width="22.1796875" style="580" customWidth="1"/>
    <col min="11786" max="11788" width="0" style="580" hidden="1" customWidth="1"/>
    <col min="11789" max="11799" width="9.1796875" style="580" customWidth="1"/>
    <col min="11800" max="12032" width="9.1796875" style="580"/>
    <col min="12033" max="12033" width="8.81640625" style="580" customWidth="1"/>
    <col min="12034" max="12034" width="60.26953125" style="580" customWidth="1"/>
    <col min="12035" max="12037" width="0" style="580" hidden="1" customWidth="1"/>
    <col min="12038" max="12038" width="11.54296875" style="580" customWidth="1"/>
    <col min="12039" max="12039" width="10.26953125" style="580" customWidth="1"/>
    <col min="12040" max="12040" width="10.453125" style="580" customWidth="1"/>
    <col min="12041" max="12041" width="22.1796875" style="580" customWidth="1"/>
    <col min="12042" max="12044" width="0" style="580" hidden="1" customWidth="1"/>
    <col min="12045" max="12055" width="9.1796875" style="580" customWidth="1"/>
    <col min="12056" max="12288" width="9.1796875" style="580"/>
    <col min="12289" max="12289" width="8.81640625" style="580" customWidth="1"/>
    <col min="12290" max="12290" width="60.26953125" style="580" customWidth="1"/>
    <col min="12291" max="12293" width="0" style="580" hidden="1" customWidth="1"/>
    <col min="12294" max="12294" width="11.54296875" style="580" customWidth="1"/>
    <col min="12295" max="12295" width="10.26953125" style="580" customWidth="1"/>
    <col min="12296" max="12296" width="10.453125" style="580" customWidth="1"/>
    <col min="12297" max="12297" width="22.1796875" style="580" customWidth="1"/>
    <col min="12298" max="12300" width="0" style="580" hidden="1" customWidth="1"/>
    <col min="12301" max="12311" width="9.1796875" style="580" customWidth="1"/>
    <col min="12312" max="12544" width="9.1796875" style="580"/>
    <col min="12545" max="12545" width="8.81640625" style="580" customWidth="1"/>
    <col min="12546" max="12546" width="60.26953125" style="580" customWidth="1"/>
    <col min="12547" max="12549" width="0" style="580" hidden="1" customWidth="1"/>
    <col min="12550" max="12550" width="11.54296875" style="580" customWidth="1"/>
    <col min="12551" max="12551" width="10.26953125" style="580" customWidth="1"/>
    <col min="12552" max="12552" width="10.453125" style="580" customWidth="1"/>
    <col min="12553" max="12553" width="22.1796875" style="580" customWidth="1"/>
    <col min="12554" max="12556" width="0" style="580" hidden="1" customWidth="1"/>
    <col min="12557" max="12567" width="9.1796875" style="580" customWidth="1"/>
    <col min="12568" max="12800" width="9.1796875" style="580"/>
    <col min="12801" max="12801" width="8.81640625" style="580" customWidth="1"/>
    <col min="12802" max="12802" width="60.26953125" style="580" customWidth="1"/>
    <col min="12803" max="12805" width="0" style="580" hidden="1" customWidth="1"/>
    <col min="12806" max="12806" width="11.54296875" style="580" customWidth="1"/>
    <col min="12807" max="12807" width="10.26953125" style="580" customWidth="1"/>
    <col min="12808" max="12808" width="10.453125" style="580" customWidth="1"/>
    <col min="12809" max="12809" width="22.1796875" style="580" customWidth="1"/>
    <col min="12810" max="12812" width="0" style="580" hidden="1" customWidth="1"/>
    <col min="12813" max="12823" width="9.1796875" style="580" customWidth="1"/>
    <col min="12824" max="13056" width="9.1796875" style="580"/>
    <col min="13057" max="13057" width="8.81640625" style="580" customWidth="1"/>
    <col min="13058" max="13058" width="60.26953125" style="580" customWidth="1"/>
    <col min="13059" max="13061" width="0" style="580" hidden="1" customWidth="1"/>
    <col min="13062" max="13062" width="11.54296875" style="580" customWidth="1"/>
    <col min="13063" max="13063" width="10.26953125" style="580" customWidth="1"/>
    <col min="13064" max="13064" width="10.453125" style="580" customWidth="1"/>
    <col min="13065" max="13065" width="22.1796875" style="580" customWidth="1"/>
    <col min="13066" max="13068" width="0" style="580" hidden="1" customWidth="1"/>
    <col min="13069" max="13079" width="9.1796875" style="580" customWidth="1"/>
    <col min="13080" max="13312" width="9.1796875" style="580"/>
    <col min="13313" max="13313" width="8.81640625" style="580" customWidth="1"/>
    <col min="13314" max="13314" width="60.26953125" style="580" customWidth="1"/>
    <col min="13315" max="13317" width="0" style="580" hidden="1" customWidth="1"/>
    <col min="13318" max="13318" width="11.54296875" style="580" customWidth="1"/>
    <col min="13319" max="13319" width="10.26953125" style="580" customWidth="1"/>
    <col min="13320" max="13320" width="10.453125" style="580" customWidth="1"/>
    <col min="13321" max="13321" width="22.1796875" style="580" customWidth="1"/>
    <col min="13322" max="13324" width="0" style="580" hidden="1" customWidth="1"/>
    <col min="13325" max="13335" width="9.1796875" style="580" customWidth="1"/>
    <col min="13336" max="13568" width="9.1796875" style="580"/>
    <col min="13569" max="13569" width="8.81640625" style="580" customWidth="1"/>
    <col min="13570" max="13570" width="60.26953125" style="580" customWidth="1"/>
    <col min="13571" max="13573" width="0" style="580" hidden="1" customWidth="1"/>
    <col min="13574" max="13574" width="11.54296875" style="580" customWidth="1"/>
    <col min="13575" max="13575" width="10.26953125" style="580" customWidth="1"/>
    <col min="13576" max="13576" width="10.453125" style="580" customWidth="1"/>
    <col min="13577" max="13577" width="22.1796875" style="580" customWidth="1"/>
    <col min="13578" max="13580" width="0" style="580" hidden="1" customWidth="1"/>
    <col min="13581" max="13591" width="9.1796875" style="580" customWidth="1"/>
    <col min="13592" max="13824" width="9.1796875" style="580"/>
    <col min="13825" max="13825" width="8.81640625" style="580" customWidth="1"/>
    <col min="13826" max="13826" width="60.26953125" style="580" customWidth="1"/>
    <col min="13827" max="13829" width="0" style="580" hidden="1" customWidth="1"/>
    <col min="13830" max="13830" width="11.54296875" style="580" customWidth="1"/>
    <col min="13831" max="13831" width="10.26953125" style="580" customWidth="1"/>
    <col min="13832" max="13832" width="10.453125" style="580" customWidth="1"/>
    <col min="13833" max="13833" width="22.1796875" style="580" customWidth="1"/>
    <col min="13834" max="13836" width="0" style="580" hidden="1" customWidth="1"/>
    <col min="13837" max="13847" width="9.1796875" style="580" customWidth="1"/>
    <col min="13848" max="14080" width="9.1796875" style="580"/>
    <col min="14081" max="14081" width="8.81640625" style="580" customWidth="1"/>
    <col min="14082" max="14082" width="60.26953125" style="580" customWidth="1"/>
    <col min="14083" max="14085" width="0" style="580" hidden="1" customWidth="1"/>
    <col min="14086" max="14086" width="11.54296875" style="580" customWidth="1"/>
    <col min="14087" max="14087" width="10.26953125" style="580" customWidth="1"/>
    <col min="14088" max="14088" width="10.453125" style="580" customWidth="1"/>
    <col min="14089" max="14089" width="22.1796875" style="580" customWidth="1"/>
    <col min="14090" max="14092" width="0" style="580" hidden="1" customWidth="1"/>
    <col min="14093" max="14103" width="9.1796875" style="580" customWidth="1"/>
    <col min="14104" max="14336" width="9.1796875" style="580"/>
    <col min="14337" max="14337" width="8.81640625" style="580" customWidth="1"/>
    <col min="14338" max="14338" width="60.26953125" style="580" customWidth="1"/>
    <col min="14339" max="14341" width="0" style="580" hidden="1" customWidth="1"/>
    <col min="14342" max="14342" width="11.54296875" style="580" customWidth="1"/>
    <col min="14343" max="14343" width="10.26953125" style="580" customWidth="1"/>
    <col min="14344" max="14344" width="10.453125" style="580" customWidth="1"/>
    <col min="14345" max="14345" width="22.1796875" style="580" customWidth="1"/>
    <col min="14346" max="14348" width="0" style="580" hidden="1" customWidth="1"/>
    <col min="14349" max="14359" width="9.1796875" style="580" customWidth="1"/>
    <col min="14360" max="14592" width="9.1796875" style="580"/>
    <col min="14593" max="14593" width="8.81640625" style="580" customWidth="1"/>
    <col min="14594" max="14594" width="60.26953125" style="580" customWidth="1"/>
    <col min="14595" max="14597" width="0" style="580" hidden="1" customWidth="1"/>
    <col min="14598" max="14598" width="11.54296875" style="580" customWidth="1"/>
    <col min="14599" max="14599" width="10.26953125" style="580" customWidth="1"/>
    <col min="14600" max="14600" width="10.453125" style="580" customWidth="1"/>
    <col min="14601" max="14601" width="22.1796875" style="580" customWidth="1"/>
    <col min="14602" max="14604" width="0" style="580" hidden="1" customWidth="1"/>
    <col min="14605" max="14615" width="9.1796875" style="580" customWidth="1"/>
    <col min="14616" max="14848" width="9.1796875" style="580"/>
    <col min="14849" max="14849" width="8.81640625" style="580" customWidth="1"/>
    <col min="14850" max="14850" width="60.26953125" style="580" customWidth="1"/>
    <col min="14851" max="14853" width="0" style="580" hidden="1" customWidth="1"/>
    <col min="14854" max="14854" width="11.54296875" style="580" customWidth="1"/>
    <col min="14855" max="14855" width="10.26953125" style="580" customWidth="1"/>
    <col min="14856" max="14856" width="10.453125" style="580" customWidth="1"/>
    <col min="14857" max="14857" width="22.1796875" style="580" customWidth="1"/>
    <col min="14858" max="14860" width="0" style="580" hidden="1" customWidth="1"/>
    <col min="14861" max="14871" width="9.1796875" style="580" customWidth="1"/>
    <col min="14872" max="15104" width="9.1796875" style="580"/>
    <col min="15105" max="15105" width="8.81640625" style="580" customWidth="1"/>
    <col min="15106" max="15106" width="60.26953125" style="580" customWidth="1"/>
    <col min="15107" max="15109" width="0" style="580" hidden="1" customWidth="1"/>
    <col min="15110" max="15110" width="11.54296875" style="580" customWidth="1"/>
    <col min="15111" max="15111" width="10.26953125" style="580" customWidth="1"/>
    <col min="15112" max="15112" width="10.453125" style="580" customWidth="1"/>
    <col min="15113" max="15113" width="22.1796875" style="580" customWidth="1"/>
    <col min="15114" max="15116" width="0" style="580" hidden="1" customWidth="1"/>
    <col min="15117" max="15127" width="9.1796875" style="580" customWidth="1"/>
    <col min="15128" max="15360" width="9.1796875" style="580"/>
    <col min="15361" max="15361" width="8.81640625" style="580" customWidth="1"/>
    <col min="15362" max="15362" width="60.26953125" style="580" customWidth="1"/>
    <col min="15363" max="15365" width="0" style="580" hidden="1" customWidth="1"/>
    <col min="15366" max="15366" width="11.54296875" style="580" customWidth="1"/>
    <col min="15367" max="15367" width="10.26953125" style="580" customWidth="1"/>
    <col min="15368" max="15368" width="10.453125" style="580" customWidth="1"/>
    <col min="15369" max="15369" width="22.1796875" style="580" customWidth="1"/>
    <col min="15370" max="15372" width="0" style="580" hidden="1" customWidth="1"/>
    <col min="15373" max="15383" width="9.1796875" style="580" customWidth="1"/>
    <col min="15384" max="15616" width="9.1796875" style="580"/>
    <col min="15617" max="15617" width="8.81640625" style="580" customWidth="1"/>
    <col min="15618" max="15618" width="60.26953125" style="580" customWidth="1"/>
    <col min="15619" max="15621" width="0" style="580" hidden="1" customWidth="1"/>
    <col min="15622" max="15622" width="11.54296875" style="580" customWidth="1"/>
    <col min="15623" max="15623" width="10.26953125" style="580" customWidth="1"/>
    <col min="15624" max="15624" width="10.453125" style="580" customWidth="1"/>
    <col min="15625" max="15625" width="22.1796875" style="580" customWidth="1"/>
    <col min="15626" max="15628" width="0" style="580" hidden="1" customWidth="1"/>
    <col min="15629" max="15639" width="9.1796875" style="580" customWidth="1"/>
    <col min="15640" max="15872" width="9.1796875" style="580"/>
    <col min="15873" max="15873" width="8.81640625" style="580" customWidth="1"/>
    <col min="15874" max="15874" width="60.26953125" style="580" customWidth="1"/>
    <col min="15875" max="15877" width="0" style="580" hidden="1" customWidth="1"/>
    <col min="15878" max="15878" width="11.54296875" style="580" customWidth="1"/>
    <col min="15879" max="15879" width="10.26953125" style="580" customWidth="1"/>
    <col min="15880" max="15880" width="10.453125" style="580" customWidth="1"/>
    <col min="15881" max="15881" width="22.1796875" style="580" customWidth="1"/>
    <col min="15882" max="15884" width="0" style="580" hidden="1" customWidth="1"/>
    <col min="15885" max="15895" width="9.1796875" style="580" customWidth="1"/>
    <col min="15896" max="16128" width="9.1796875" style="580"/>
    <col min="16129" max="16129" width="8.81640625" style="580" customWidth="1"/>
    <col min="16130" max="16130" width="60.26953125" style="580" customWidth="1"/>
    <col min="16131" max="16133" width="0" style="580" hidden="1" customWidth="1"/>
    <col min="16134" max="16134" width="11.54296875" style="580" customWidth="1"/>
    <col min="16135" max="16135" width="10.26953125" style="580" customWidth="1"/>
    <col min="16136" max="16136" width="10.453125" style="580" customWidth="1"/>
    <col min="16137" max="16137" width="22.1796875" style="580" customWidth="1"/>
    <col min="16138" max="16140" width="0" style="580" hidden="1" customWidth="1"/>
    <col min="16141" max="16151" width="9.1796875" style="580" customWidth="1"/>
    <col min="16152" max="16384" width="9.1796875" style="580"/>
  </cols>
  <sheetData>
    <row r="1" spans="9:9" ht="15.5" hidden="1" x14ac:dyDescent="0.35">
      <c r="I1" s="604" t="s">
        <v>813</v>
      </c>
    </row>
    <row r="2" spans="9:9" ht="15.5" hidden="1" x14ac:dyDescent="0.35">
      <c r="I2" s="604" t="s">
        <v>797</v>
      </c>
    </row>
    <row r="3" spans="9:9" ht="15.5" hidden="1" x14ac:dyDescent="0.35">
      <c r="I3" s="604" t="s">
        <v>449</v>
      </c>
    </row>
    <row r="4" spans="9:9" ht="15.5" hidden="1" x14ac:dyDescent="0.35">
      <c r="I4" s="604" t="s">
        <v>814</v>
      </c>
    </row>
    <row r="5" spans="9:9" ht="15.5" hidden="1" x14ac:dyDescent="0.35">
      <c r="I5" s="254" t="s">
        <v>815</v>
      </c>
    </row>
    <row r="6" spans="9:9" hidden="1" x14ac:dyDescent="0.25"/>
    <row r="7" spans="9:9" ht="15.5" hidden="1" x14ac:dyDescent="0.35">
      <c r="I7" s="445" t="s">
        <v>816</v>
      </c>
    </row>
    <row r="8" spans="9:9" ht="15.5" hidden="1" x14ac:dyDescent="0.35">
      <c r="I8" s="445" t="s">
        <v>450</v>
      </c>
    </row>
    <row r="9" spans="9:9" ht="15.5" hidden="1" x14ac:dyDescent="0.35">
      <c r="I9" s="445" t="s">
        <v>626</v>
      </c>
    </row>
    <row r="10" spans="9:9" ht="15.5" hidden="1" x14ac:dyDescent="0.35">
      <c r="I10" s="445" t="s">
        <v>448</v>
      </c>
    </row>
    <row r="11" spans="9:9" ht="15.5" hidden="1" x14ac:dyDescent="0.25">
      <c r="I11" s="546" t="s">
        <v>817</v>
      </c>
    </row>
    <row r="12" spans="9:9" hidden="1" x14ac:dyDescent="0.25">
      <c r="I12" s="605"/>
    </row>
    <row r="13" spans="9:9" ht="15.5" hidden="1" x14ac:dyDescent="0.25">
      <c r="I13" s="546" t="s">
        <v>446</v>
      </c>
    </row>
    <row r="14" spans="9:9" ht="13" hidden="1" x14ac:dyDescent="0.25">
      <c r="I14" s="558"/>
    </row>
    <row r="15" spans="9:9" ht="15.5" hidden="1" x14ac:dyDescent="0.25">
      <c r="I15" s="546" t="s">
        <v>445</v>
      </c>
    </row>
    <row r="16" spans="9:9" ht="15.5" hidden="1" x14ac:dyDescent="0.25">
      <c r="I16" s="546"/>
    </row>
    <row r="17" spans="1:17" ht="15.5" x14ac:dyDescent="0.35">
      <c r="B17" s="2783" t="s">
        <v>616</v>
      </c>
      <c r="C17" s="2783"/>
      <c r="D17" s="2783"/>
      <c r="E17" s="2783"/>
      <c r="F17" s="2783"/>
      <c r="G17" s="2783"/>
      <c r="H17" s="2783"/>
      <c r="I17" s="2783"/>
      <c r="J17" s="2783"/>
      <c r="K17" s="2783"/>
      <c r="L17" s="2783"/>
      <c r="M17" s="2783"/>
      <c r="N17" s="607"/>
      <c r="O17" s="607"/>
      <c r="P17" s="607"/>
      <c r="Q17" s="607"/>
    </row>
    <row r="18" spans="1:17" ht="15.5" x14ac:dyDescent="0.35">
      <c r="B18" s="2783" t="s">
        <v>450</v>
      </c>
      <c r="C18" s="2783"/>
      <c r="D18" s="2783"/>
      <c r="E18" s="2783"/>
      <c r="F18" s="2783"/>
      <c r="G18" s="2783"/>
      <c r="H18" s="2783"/>
      <c r="I18" s="2783"/>
      <c r="J18" s="2783"/>
      <c r="K18" s="2783"/>
      <c r="L18" s="2783"/>
      <c r="M18" s="2783"/>
      <c r="O18" s="607"/>
      <c r="P18" s="607"/>
      <c r="Q18" s="607"/>
    </row>
    <row r="19" spans="1:17" ht="15.5" x14ac:dyDescent="0.35">
      <c r="B19" s="2783" t="s">
        <v>449</v>
      </c>
      <c r="C19" s="2783"/>
      <c r="D19" s="2783"/>
      <c r="E19" s="2783"/>
      <c r="F19" s="2783"/>
      <c r="G19" s="2783"/>
      <c r="H19" s="2783"/>
      <c r="I19" s="2783"/>
      <c r="J19" s="2783"/>
      <c r="K19" s="2783"/>
      <c r="L19" s="2783"/>
      <c r="M19" s="2783"/>
      <c r="N19" s="607"/>
      <c r="O19" s="607"/>
      <c r="P19" s="607"/>
      <c r="Q19" s="607"/>
    </row>
    <row r="20" spans="1:17" ht="15.5" x14ac:dyDescent="0.35">
      <c r="B20" s="2783" t="s">
        <v>448</v>
      </c>
      <c r="C20" s="2783"/>
      <c r="D20" s="2783"/>
      <c r="E20" s="2783"/>
      <c r="F20" s="2783"/>
      <c r="G20" s="2783"/>
      <c r="H20" s="2783"/>
      <c r="I20" s="2783"/>
      <c r="J20" s="2783"/>
      <c r="K20" s="2783"/>
      <c r="L20" s="2783"/>
      <c r="M20" s="2783"/>
      <c r="N20" s="607"/>
      <c r="O20" s="607"/>
      <c r="P20" s="607"/>
      <c r="Q20" s="607"/>
    </row>
    <row r="21" spans="1:17" ht="15.5" x14ac:dyDescent="0.25">
      <c r="B21" s="1771"/>
      <c r="C21" s="1771"/>
      <c r="D21" s="1771"/>
      <c r="E21" s="1771"/>
      <c r="F21" s="1771"/>
      <c r="G21" s="1771"/>
      <c r="H21" s="2603" t="s">
        <v>991</v>
      </c>
      <c r="I21" s="2603"/>
      <c r="J21" s="2603"/>
      <c r="K21" s="2603"/>
      <c r="L21" s="2603"/>
      <c r="M21" s="2603"/>
      <c r="N21" s="609"/>
      <c r="P21" s="610"/>
      <c r="Q21" s="610"/>
    </row>
    <row r="22" spans="1:17" ht="15.5" x14ac:dyDescent="0.35">
      <c r="L22" s="611"/>
      <c r="M22" s="444"/>
      <c r="N22" s="251"/>
      <c r="O22" s="251"/>
      <c r="P22" s="251"/>
      <c r="Q22" s="251"/>
    </row>
    <row r="23" spans="1:17" ht="15.5" hidden="1" x14ac:dyDescent="0.35">
      <c r="B23" s="2651" t="s">
        <v>446</v>
      </c>
      <c r="C23" s="2651"/>
      <c r="D23" s="2651"/>
      <c r="E23" s="2651"/>
      <c r="F23" s="2651"/>
      <c r="G23" s="2651"/>
      <c r="H23" s="2651"/>
      <c r="I23" s="2651"/>
      <c r="J23" s="2651"/>
      <c r="K23" s="2651"/>
      <c r="L23" s="2651"/>
      <c r="M23" s="2651"/>
      <c r="N23" s="251"/>
      <c r="O23" s="251"/>
      <c r="P23" s="251"/>
      <c r="Q23" s="251"/>
    </row>
    <row r="24" spans="1:17" ht="15.5" hidden="1" x14ac:dyDescent="0.3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5" hidden="1" x14ac:dyDescent="0.35">
      <c r="B25" s="2651" t="s">
        <v>848</v>
      </c>
      <c r="C25" s="2651"/>
      <c r="D25" s="2651"/>
      <c r="E25" s="2651"/>
      <c r="F25" s="2651"/>
      <c r="G25" s="2651"/>
      <c r="H25" s="2651"/>
      <c r="I25" s="2651"/>
      <c r="J25" s="2651"/>
      <c r="K25" s="2651"/>
      <c r="L25" s="2651"/>
      <c r="M25" s="2651"/>
      <c r="N25" s="251"/>
      <c r="O25" s="251"/>
      <c r="P25" s="251"/>
      <c r="Q25" s="251"/>
    </row>
    <row r="26" spans="1:17" ht="15.5" hidden="1" x14ac:dyDescent="0.3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t="13" hidden="1" x14ac:dyDescent="0.3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5" hidden="1" x14ac:dyDescent="0.3">
      <c r="B28" s="2786"/>
      <c r="C28" s="2786"/>
      <c r="D28" s="2786"/>
      <c r="E28" s="2786"/>
      <c r="F28" s="2786"/>
      <c r="G28" s="2786"/>
      <c r="H28" s="2786"/>
      <c r="I28" s="2786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5" hidden="1" customHeight="1" x14ac:dyDescent="0.3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35">
      <c r="B30" s="706"/>
    </row>
    <row r="31" spans="1:17" ht="15" x14ac:dyDescent="0.3">
      <c r="A31" s="2221" t="s">
        <v>868</v>
      </c>
      <c r="B31" s="2221"/>
      <c r="C31" s="2221"/>
      <c r="D31" s="2221"/>
      <c r="E31" s="2221"/>
      <c r="F31" s="2221"/>
      <c r="G31" s="2221"/>
      <c r="H31" s="2221"/>
      <c r="I31" s="2221"/>
      <c r="J31" s="2221"/>
      <c r="N31" s="608" t="s">
        <v>106</v>
      </c>
    </row>
    <row r="32" spans="1:17" ht="15" x14ac:dyDescent="0.3">
      <c r="A32" s="2221" t="s">
        <v>869</v>
      </c>
      <c r="B32" s="2221"/>
      <c r="C32" s="2221"/>
      <c r="D32" s="2221"/>
      <c r="E32" s="2221"/>
      <c r="F32" s="2221"/>
      <c r="G32" s="2221"/>
      <c r="H32" s="2221"/>
      <c r="I32" s="2221"/>
      <c r="J32" s="2221"/>
    </row>
    <row r="33" spans="1:10" ht="15" x14ac:dyDescent="0.3">
      <c r="A33" s="2221" t="s">
        <v>1089</v>
      </c>
      <c r="B33" s="2221"/>
      <c r="C33" s="2221"/>
      <c r="D33" s="2221"/>
      <c r="E33" s="2221"/>
      <c r="F33" s="2221"/>
      <c r="G33" s="2221"/>
      <c r="H33" s="2221"/>
      <c r="I33" s="2221"/>
      <c r="J33" s="2221"/>
    </row>
    <row r="34" spans="1:10" ht="15.5" hidden="1" x14ac:dyDescent="0.3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5" hidden="1" x14ac:dyDescent="0.25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" hidden="1" x14ac:dyDescent="0.3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" hidden="1" x14ac:dyDescent="0.3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6" hidden="1" x14ac:dyDescent="0.3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9" hidden="1" x14ac:dyDescent="0.3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t="13" hidden="1" x14ac:dyDescent="0.3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9" hidden="1" x14ac:dyDescent="0.3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9" hidden="1" x14ac:dyDescent="0.3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t="13" hidden="1" x14ac:dyDescent="0.3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t="13" hidden="1" x14ac:dyDescent="0.3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t="13" hidden="1" x14ac:dyDescent="0.3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9" hidden="1" x14ac:dyDescent="0.25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9" hidden="1" x14ac:dyDescent="0.25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t="13" hidden="1" x14ac:dyDescent="0.25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t="13" hidden="1" x14ac:dyDescent="0.3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t="13" hidden="1" x14ac:dyDescent="0.3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26" hidden="1" x14ac:dyDescent="0.25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t="13" hidden="1" x14ac:dyDescent="0.3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26" hidden="1" x14ac:dyDescent="0.25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t="13" hidden="1" x14ac:dyDescent="0.3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9" hidden="1" x14ac:dyDescent="0.25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9" hidden="1" x14ac:dyDescent="0.25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t="13" hidden="1" x14ac:dyDescent="0.3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52" hidden="1" x14ac:dyDescent="0.25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t="13" hidden="1" x14ac:dyDescent="0.3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2" hidden="1" x14ac:dyDescent="0.25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2" hidden="1" x14ac:dyDescent="0.25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t="13" hidden="1" x14ac:dyDescent="0.3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t="13" hidden="1" x14ac:dyDescent="0.3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6" hidden="1" x14ac:dyDescent="0.25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9" hidden="1" x14ac:dyDescent="0.25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9" hidden="1" x14ac:dyDescent="0.25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t="13" hidden="1" x14ac:dyDescent="0.3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4" hidden="1" x14ac:dyDescent="0.25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9" hidden="1" x14ac:dyDescent="0.25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6" hidden="1" x14ac:dyDescent="0.25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t="13" hidden="1" x14ac:dyDescent="0.25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9" hidden="1" x14ac:dyDescent="0.3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6" hidden="1" x14ac:dyDescent="0.25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t="13" hidden="1" x14ac:dyDescent="0.3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t="13" hidden="1" x14ac:dyDescent="0.25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6" hidden="1" x14ac:dyDescent="0.25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t="13" hidden="1" x14ac:dyDescent="0.25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t="13" hidden="1" x14ac:dyDescent="0.3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t="13" hidden="1" x14ac:dyDescent="0.3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" hidden="1" x14ac:dyDescent="0.25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t="13" hidden="1" x14ac:dyDescent="0.25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6" hidden="1" x14ac:dyDescent="0.25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t="13" hidden="1" x14ac:dyDescent="0.3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t="13" hidden="1" x14ac:dyDescent="0.3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" hidden="1" x14ac:dyDescent="0.25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6" hidden="1" x14ac:dyDescent="0.25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9" hidden="1" x14ac:dyDescent="0.25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5" hidden="1" x14ac:dyDescent="0.25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5" hidden="1" x14ac:dyDescent="0.25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t="13" hidden="1" x14ac:dyDescent="0.3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52" hidden="1" x14ac:dyDescent="0.25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t="13" hidden="1" x14ac:dyDescent="0.3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5" hidden="1" x14ac:dyDescent="0.25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5" hidden="1" x14ac:dyDescent="0.25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6" hidden="1" x14ac:dyDescent="0.25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t="13" hidden="1" x14ac:dyDescent="0.3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9" hidden="1" x14ac:dyDescent="0.25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9" hidden="1" x14ac:dyDescent="0.25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4" hidden="1" x14ac:dyDescent="0.3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t="13" hidden="1" x14ac:dyDescent="0.3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9" hidden="1" x14ac:dyDescent="0.3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5" hidden="1" x14ac:dyDescent="0.3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5" hidden="1" x14ac:dyDescent="0.3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t="13" hidden="1" x14ac:dyDescent="0.3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2" hidden="1" x14ac:dyDescent="0.3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5" hidden="1" x14ac:dyDescent="0.3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5" hidden="1" x14ac:dyDescent="0.3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t="13" hidden="1" x14ac:dyDescent="0.3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t="13" hidden="1" x14ac:dyDescent="0.3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2" hidden="1" x14ac:dyDescent="0.3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52" hidden="1" x14ac:dyDescent="0.3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0" hidden="1" x14ac:dyDescent="0.3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t="13" hidden="1" x14ac:dyDescent="0.3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9" hidden="1" x14ac:dyDescent="0.3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t="13" hidden="1" x14ac:dyDescent="0.3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t="13" hidden="1" x14ac:dyDescent="0.3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t="13" hidden="1" x14ac:dyDescent="0.3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t="13" hidden="1" x14ac:dyDescent="0.3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13" hidden="1" x14ac:dyDescent="0.3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t="13" hidden="1" x14ac:dyDescent="0.3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4" hidden="1" x14ac:dyDescent="0.3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t="13" hidden="1" x14ac:dyDescent="0.25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2" hidden="1" x14ac:dyDescent="0.25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52" hidden="1" x14ac:dyDescent="0.3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5" hidden="1" x14ac:dyDescent="0.3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5" hidden="1" x14ac:dyDescent="0.3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52" hidden="1" x14ac:dyDescent="0.3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9" hidden="1" x14ac:dyDescent="0.25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6" hidden="1" x14ac:dyDescent="0.25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t="13" hidden="1" x14ac:dyDescent="0.3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t="13" hidden="1" x14ac:dyDescent="0.25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6" hidden="1" x14ac:dyDescent="0.3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t="13" hidden="1" x14ac:dyDescent="0.25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9" hidden="1" x14ac:dyDescent="0.25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5" hidden="1" x14ac:dyDescent="0.25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6" hidden="1" x14ac:dyDescent="0.25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2" hidden="1" x14ac:dyDescent="0.25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9" hidden="1" x14ac:dyDescent="0.25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5" hidden="1" x14ac:dyDescent="0.25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2" hidden="1" x14ac:dyDescent="0.25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9" hidden="1" x14ac:dyDescent="0.25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9" hidden="1" x14ac:dyDescent="0.25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6" hidden="1" x14ac:dyDescent="0.25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2719" t="s">
        <v>20</v>
      </c>
      <c r="H143" s="2720"/>
      <c r="I143" s="2720"/>
      <c r="J143" s="2721"/>
    </row>
    <row r="144" spans="1:10" ht="26" hidden="1" x14ac:dyDescent="0.25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2713" t="s">
        <v>17</v>
      </c>
      <c r="H144" s="2714"/>
      <c r="I144" s="2714"/>
      <c r="J144" s="2715"/>
    </row>
    <row r="145" spans="1:10" ht="13" hidden="1" x14ac:dyDescent="0.3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t="13" hidden="1" x14ac:dyDescent="0.25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2" hidden="1" x14ac:dyDescent="0.25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5" hidden="1" x14ac:dyDescent="0.25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t="13" hidden="1" x14ac:dyDescent="0.3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9" hidden="1" x14ac:dyDescent="0.25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5" hidden="1" x14ac:dyDescent="0.25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t="13" hidden="1" x14ac:dyDescent="0.3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5" hidden="1" x14ac:dyDescent="0.25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t="13" hidden="1" x14ac:dyDescent="0.3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t="13" hidden="1" x14ac:dyDescent="0.25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9" hidden="1" x14ac:dyDescent="0.25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6" hidden="1" x14ac:dyDescent="0.25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6" hidden="1" x14ac:dyDescent="0.25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t="13" hidden="1" x14ac:dyDescent="0.25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4" hidden="1" x14ac:dyDescent="0.25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t="13" hidden="1" x14ac:dyDescent="0.25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9" hidden="1" x14ac:dyDescent="0.25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5" hidden="1" x14ac:dyDescent="0.25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52" hidden="1" x14ac:dyDescent="0.25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t="13" hidden="1" x14ac:dyDescent="0.3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52" hidden="1" x14ac:dyDescent="0.25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t="13" hidden="1" x14ac:dyDescent="0.3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" hidden="1" x14ac:dyDescent="0.25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t="13" hidden="1" x14ac:dyDescent="0.25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9" hidden="1" x14ac:dyDescent="0.25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52" hidden="1" x14ac:dyDescent="0.25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5" hidden="1" x14ac:dyDescent="0.25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t="13" hidden="1" x14ac:dyDescent="0.3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t="13" hidden="1" x14ac:dyDescent="0.3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t="13" hidden="1" x14ac:dyDescent="0.3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t="13" hidden="1" x14ac:dyDescent="0.25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9" hidden="1" x14ac:dyDescent="0.25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5" hidden="1" x14ac:dyDescent="0.25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5" hidden="1" x14ac:dyDescent="0.25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t="13" hidden="1" x14ac:dyDescent="0.3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2" hidden="1" x14ac:dyDescent="0.3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" hidden="1" x14ac:dyDescent="0.25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t="13" hidden="1" x14ac:dyDescent="0.25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t="13" hidden="1" x14ac:dyDescent="0.25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t="13" hidden="1" x14ac:dyDescent="0.3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t="13" hidden="1" x14ac:dyDescent="0.25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t="13" hidden="1" x14ac:dyDescent="0.25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t="13" hidden="1" x14ac:dyDescent="0.3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" hidden="1" x14ac:dyDescent="0.25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t="13" hidden="1" x14ac:dyDescent="0.25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52" hidden="1" x14ac:dyDescent="0.25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52" hidden="1" x14ac:dyDescent="0.25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52" hidden="1" x14ac:dyDescent="0.25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5" hidden="1" x14ac:dyDescent="0.25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52" hidden="1" x14ac:dyDescent="0.25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t="13" hidden="1" x14ac:dyDescent="0.3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52" hidden="1" x14ac:dyDescent="0.25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52" hidden="1" x14ac:dyDescent="0.25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5" hidden="1" x14ac:dyDescent="0.25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t="13" hidden="1" x14ac:dyDescent="0.3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5">
      <c r="I201" s="4"/>
      <c r="J201" s="263"/>
    </row>
    <row r="202" spans="1:13" hidden="1" x14ac:dyDescent="0.25">
      <c r="I202" s="4"/>
      <c r="J202" s="263"/>
    </row>
    <row r="203" spans="1:13" ht="15.5" x14ac:dyDescent="0.35">
      <c r="I203" s="2787" t="s">
        <v>437</v>
      </c>
      <c r="J203" s="2787"/>
      <c r="K203" s="2787"/>
      <c r="L203" s="2787"/>
      <c r="M203" s="2787"/>
    </row>
    <row r="204" spans="1:13" ht="31.5" x14ac:dyDescent="0.3">
      <c r="A204" s="2784" t="s">
        <v>818</v>
      </c>
      <c r="B204" s="2785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3">
      <c r="A205" s="2760" t="s">
        <v>884</v>
      </c>
      <c r="B205" s="2761"/>
      <c r="C205" s="2761"/>
      <c r="D205" s="2761"/>
      <c r="E205" s="2761"/>
      <c r="F205" s="2761"/>
      <c r="G205" s="2761"/>
      <c r="H205" s="2761"/>
      <c r="I205" s="2761"/>
      <c r="J205" s="2761"/>
      <c r="K205" s="2761"/>
      <c r="L205" s="2761"/>
      <c r="M205" s="2762"/>
    </row>
    <row r="206" spans="1:13" ht="27" customHeight="1" x14ac:dyDescent="0.3">
      <c r="A206" s="2766" t="s">
        <v>875</v>
      </c>
      <c r="B206" s="2767"/>
      <c r="C206" s="952"/>
      <c r="D206" s="952"/>
      <c r="E206" s="952"/>
      <c r="F206" s="2770" t="s">
        <v>876</v>
      </c>
      <c r="G206" s="2772" t="s">
        <v>877</v>
      </c>
      <c r="H206" s="2781">
        <v>2019</v>
      </c>
      <c r="I206" s="2788" t="s">
        <v>879</v>
      </c>
      <c r="J206" s="953"/>
      <c r="K206" s="963"/>
      <c r="L206" s="963"/>
      <c r="M206" s="2790">
        <v>500</v>
      </c>
    </row>
    <row r="207" spans="1:13" ht="27" customHeight="1" x14ac:dyDescent="0.3">
      <c r="A207" s="2768"/>
      <c r="B207" s="2769"/>
      <c r="C207" s="954"/>
      <c r="D207" s="954"/>
      <c r="E207" s="954"/>
      <c r="F207" s="2771"/>
      <c r="G207" s="2773"/>
      <c r="H207" s="2782"/>
      <c r="I207" s="2789"/>
      <c r="J207" s="957">
        <v>500</v>
      </c>
      <c r="K207" s="963"/>
      <c r="L207" s="963"/>
      <c r="M207" s="2791"/>
    </row>
    <row r="208" spans="1:13" ht="13" x14ac:dyDescent="0.3">
      <c r="A208" s="2766" t="s">
        <v>885</v>
      </c>
      <c r="B208" s="2767"/>
      <c r="C208" s="952"/>
      <c r="D208" s="952"/>
      <c r="E208" s="952"/>
      <c r="F208" s="2770" t="s">
        <v>886</v>
      </c>
      <c r="G208" s="2772" t="s">
        <v>877</v>
      </c>
      <c r="H208" s="2772">
        <v>2019</v>
      </c>
      <c r="I208" s="2772" t="s">
        <v>878</v>
      </c>
      <c r="J208" s="1443">
        <v>1700</v>
      </c>
      <c r="K208" s="1444"/>
      <c r="L208" s="1444"/>
      <c r="M208" s="2792">
        <v>3000.703</v>
      </c>
    </row>
    <row r="209" spans="1:13" ht="40.5" customHeight="1" x14ac:dyDescent="0.25">
      <c r="A209" s="2768"/>
      <c r="B209" s="2769"/>
      <c r="C209" s="954"/>
      <c r="D209" s="954"/>
      <c r="E209" s="954"/>
      <c r="F209" s="2771"/>
      <c r="G209" s="2773"/>
      <c r="H209" s="2773"/>
      <c r="I209" s="2773"/>
      <c r="J209" s="957"/>
      <c r="K209" s="1444"/>
      <c r="L209" s="1444"/>
      <c r="M209" s="2793"/>
    </row>
    <row r="210" spans="1:13" ht="37.5" hidden="1" customHeight="1" x14ac:dyDescent="0.25">
      <c r="A210" s="2776" t="s">
        <v>963</v>
      </c>
      <c r="B210" s="2777"/>
      <c r="C210" s="2777"/>
      <c r="D210" s="2777"/>
      <c r="E210" s="2777"/>
      <c r="F210" s="2777"/>
      <c r="G210" s="2777"/>
      <c r="H210" s="2777"/>
      <c r="I210" s="2777"/>
      <c r="J210" s="2777"/>
      <c r="K210" s="2777"/>
      <c r="L210" s="2777"/>
      <c r="M210" s="2778"/>
    </row>
    <row r="211" spans="1:13" ht="40.5" hidden="1" customHeight="1" x14ac:dyDescent="0.25">
      <c r="A211" s="2779" t="s">
        <v>961</v>
      </c>
      <c r="B211" s="2780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t="13" hidden="1" x14ac:dyDescent="0.3">
      <c r="A212" s="2757" t="s">
        <v>820</v>
      </c>
      <c r="B212" s="2758"/>
      <c r="C212" s="2758"/>
      <c r="D212" s="2758"/>
      <c r="E212" s="2758"/>
      <c r="F212" s="2758"/>
      <c r="G212" s="2758"/>
      <c r="H212" s="2758"/>
      <c r="I212" s="2759"/>
      <c r="J212" s="958">
        <v>3497.6120000000001</v>
      </c>
      <c r="K212" s="1448"/>
      <c r="L212" s="1448"/>
      <c r="M212" s="965"/>
    </row>
    <row r="213" spans="1:13" ht="26.25" hidden="1" customHeight="1" x14ac:dyDescent="0.3">
      <c r="A213" s="2763" t="s">
        <v>25</v>
      </c>
      <c r="B213" s="2764"/>
      <c r="C213" s="2764"/>
      <c r="D213" s="2764"/>
      <c r="E213" s="2764"/>
      <c r="F213" s="2764"/>
      <c r="G213" s="2764"/>
      <c r="H213" s="2764"/>
      <c r="I213" s="2764"/>
      <c r="J213" s="2764"/>
      <c r="K213" s="2764"/>
      <c r="L213" s="2764"/>
      <c r="M213" s="2765"/>
    </row>
    <row r="214" spans="1:13" ht="39" hidden="1" x14ac:dyDescent="0.3">
      <c r="A214" s="2766" t="s">
        <v>880</v>
      </c>
      <c r="B214" s="2767"/>
      <c r="C214" s="959"/>
      <c r="D214" s="959"/>
      <c r="E214" s="959"/>
      <c r="F214" s="2774" t="s">
        <v>881</v>
      </c>
      <c r="G214" s="2774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t="13" hidden="1" x14ac:dyDescent="0.3">
      <c r="A215" s="2768"/>
      <c r="B215" s="2769"/>
      <c r="C215" s="954"/>
      <c r="D215" s="954"/>
      <c r="E215" s="954"/>
      <c r="F215" s="2775"/>
      <c r="G215" s="2775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5" customHeight="1" x14ac:dyDescent="0.3">
      <c r="A216" s="2760" t="s">
        <v>906</v>
      </c>
      <c r="B216" s="2761"/>
      <c r="C216" s="2761"/>
      <c r="D216" s="2761"/>
      <c r="E216" s="2761"/>
      <c r="F216" s="2761"/>
      <c r="G216" s="2761"/>
      <c r="H216" s="2761"/>
      <c r="I216" s="2761"/>
      <c r="J216" s="2761"/>
      <c r="K216" s="2761"/>
      <c r="L216" s="2761"/>
      <c r="M216" s="2762"/>
    </row>
    <row r="217" spans="1:13" ht="50.5" customHeight="1" x14ac:dyDescent="0.3">
      <c r="A217" s="2779" t="s">
        <v>1071</v>
      </c>
      <c r="B217" s="2780"/>
      <c r="C217" s="954"/>
      <c r="D217" s="954"/>
      <c r="E217" s="954"/>
      <c r="F217" s="2201"/>
      <c r="G217" s="2201"/>
      <c r="H217" s="955"/>
      <c r="I217" s="956" t="s">
        <v>878</v>
      </c>
      <c r="J217" s="962"/>
      <c r="K217" s="1448"/>
      <c r="L217" s="1448"/>
      <c r="M217" s="2202">
        <v>1000</v>
      </c>
    </row>
    <row r="218" spans="1:13" ht="14" x14ac:dyDescent="0.3">
      <c r="A218" s="2757" t="s">
        <v>820</v>
      </c>
      <c r="B218" s="2758"/>
      <c r="C218" s="2758"/>
      <c r="D218" s="2758"/>
      <c r="E218" s="2758"/>
      <c r="F218" s="2758"/>
      <c r="G218" s="2758"/>
      <c r="H218" s="2758"/>
      <c r="I218" s="2759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5">
      <c r="I219" s="4"/>
      <c r="J219" s="263"/>
    </row>
  </sheetData>
  <mergeCells count="35"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  <mergeCell ref="B18:M18"/>
    <mergeCell ref="B17:M17"/>
    <mergeCell ref="B19:M19"/>
    <mergeCell ref="B20:M20"/>
    <mergeCell ref="H21:M21"/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H16" sqref="H16"/>
    </sheetView>
  </sheetViews>
  <sheetFormatPr defaultColWidth="9.1796875" defaultRowHeight="13" x14ac:dyDescent="0.3"/>
  <cols>
    <col min="1" max="1" width="34.54296875" style="645" customWidth="1"/>
    <col min="2" max="2" width="24.7265625" style="645" customWidth="1"/>
    <col min="3" max="3" width="19.26953125" style="2204" customWidth="1"/>
    <col min="4" max="5" width="14.1796875" style="645" customWidth="1"/>
    <col min="6" max="6" width="17.54296875" style="645" customWidth="1"/>
    <col min="7" max="7" width="17.81640625" style="645" customWidth="1"/>
    <col min="8" max="8" width="14.54296875" style="645" bestFit="1" customWidth="1"/>
    <col min="9" max="9" width="12.453125" style="645" bestFit="1" customWidth="1"/>
    <col min="10" max="10" width="14.54296875" style="645" bestFit="1" customWidth="1"/>
    <col min="11" max="256" width="9.1796875" style="645"/>
    <col min="257" max="257" width="34.54296875" style="645" customWidth="1"/>
    <col min="258" max="258" width="24.7265625" style="645" customWidth="1"/>
    <col min="259" max="259" width="19.26953125" style="645" customWidth="1"/>
    <col min="260" max="261" width="14.1796875" style="645" customWidth="1"/>
    <col min="262" max="262" width="17.54296875" style="645" customWidth="1"/>
    <col min="263" max="263" width="17.81640625" style="645" customWidth="1"/>
    <col min="264" max="264" width="14.54296875" style="645" bestFit="1" customWidth="1"/>
    <col min="265" max="265" width="12.453125" style="645" bestFit="1" customWidth="1"/>
    <col min="266" max="266" width="14.54296875" style="645" bestFit="1" customWidth="1"/>
    <col min="267" max="512" width="9.1796875" style="645"/>
    <col min="513" max="513" width="34.54296875" style="645" customWidth="1"/>
    <col min="514" max="514" width="24.7265625" style="645" customWidth="1"/>
    <col min="515" max="515" width="19.26953125" style="645" customWidth="1"/>
    <col min="516" max="517" width="14.1796875" style="645" customWidth="1"/>
    <col min="518" max="518" width="17.54296875" style="645" customWidth="1"/>
    <col min="519" max="519" width="17.81640625" style="645" customWidth="1"/>
    <col min="520" max="520" width="14.54296875" style="645" bestFit="1" customWidth="1"/>
    <col min="521" max="521" width="12.453125" style="645" bestFit="1" customWidth="1"/>
    <col min="522" max="522" width="14.54296875" style="645" bestFit="1" customWidth="1"/>
    <col min="523" max="768" width="9.1796875" style="645"/>
    <col min="769" max="769" width="34.54296875" style="645" customWidth="1"/>
    <col min="770" max="770" width="24.7265625" style="645" customWidth="1"/>
    <col min="771" max="771" width="19.26953125" style="645" customWidth="1"/>
    <col min="772" max="773" width="14.1796875" style="645" customWidth="1"/>
    <col min="774" max="774" width="17.54296875" style="645" customWidth="1"/>
    <col min="775" max="775" width="17.81640625" style="645" customWidth="1"/>
    <col min="776" max="776" width="14.54296875" style="645" bestFit="1" customWidth="1"/>
    <col min="777" max="777" width="12.453125" style="645" bestFit="1" customWidth="1"/>
    <col min="778" max="778" width="14.54296875" style="645" bestFit="1" customWidth="1"/>
    <col min="779" max="1024" width="9.1796875" style="645"/>
    <col min="1025" max="1025" width="34.54296875" style="645" customWidth="1"/>
    <col min="1026" max="1026" width="24.7265625" style="645" customWidth="1"/>
    <col min="1027" max="1027" width="19.26953125" style="645" customWidth="1"/>
    <col min="1028" max="1029" width="14.1796875" style="645" customWidth="1"/>
    <col min="1030" max="1030" width="17.54296875" style="645" customWidth="1"/>
    <col min="1031" max="1031" width="17.81640625" style="645" customWidth="1"/>
    <col min="1032" max="1032" width="14.54296875" style="645" bestFit="1" customWidth="1"/>
    <col min="1033" max="1033" width="12.453125" style="645" bestFit="1" customWidth="1"/>
    <col min="1034" max="1034" width="14.54296875" style="645" bestFit="1" customWidth="1"/>
    <col min="1035" max="1280" width="9.1796875" style="645"/>
    <col min="1281" max="1281" width="34.54296875" style="645" customWidth="1"/>
    <col min="1282" max="1282" width="24.7265625" style="645" customWidth="1"/>
    <col min="1283" max="1283" width="19.26953125" style="645" customWidth="1"/>
    <col min="1284" max="1285" width="14.1796875" style="645" customWidth="1"/>
    <col min="1286" max="1286" width="17.54296875" style="645" customWidth="1"/>
    <col min="1287" max="1287" width="17.81640625" style="645" customWidth="1"/>
    <col min="1288" max="1288" width="14.54296875" style="645" bestFit="1" customWidth="1"/>
    <col min="1289" max="1289" width="12.453125" style="645" bestFit="1" customWidth="1"/>
    <col min="1290" max="1290" width="14.54296875" style="645" bestFit="1" customWidth="1"/>
    <col min="1291" max="1536" width="9.1796875" style="645"/>
    <col min="1537" max="1537" width="34.54296875" style="645" customWidth="1"/>
    <col min="1538" max="1538" width="24.7265625" style="645" customWidth="1"/>
    <col min="1539" max="1539" width="19.26953125" style="645" customWidth="1"/>
    <col min="1540" max="1541" width="14.1796875" style="645" customWidth="1"/>
    <col min="1542" max="1542" width="17.54296875" style="645" customWidth="1"/>
    <col min="1543" max="1543" width="17.81640625" style="645" customWidth="1"/>
    <col min="1544" max="1544" width="14.54296875" style="645" bestFit="1" customWidth="1"/>
    <col min="1545" max="1545" width="12.453125" style="645" bestFit="1" customWidth="1"/>
    <col min="1546" max="1546" width="14.54296875" style="645" bestFit="1" customWidth="1"/>
    <col min="1547" max="1792" width="9.1796875" style="645"/>
    <col min="1793" max="1793" width="34.54296875" style="645" customWidth="1"/>
    <col min="1794" max="1794" width="24.7265625" style="645" customWidth="1"/>
    <col min="1795" max="1795" width="19.26953125" style="645" customWidth="1"/>
    <col min="1796" max="1797" width="14.1796875" style="645" customWidth="1"/>
    <col min="1798" max="1798" width="17.54296875" style="645" customWidth="1"/>
    <col min="1799" max="1799" width="17.81640625" style="645" customWidth="1"/>
    <col min="1800" max="1800" width="14.54296875" style="645" bestFit="1" customWidth="1"/>
    <col min="1801" max="1801" width="12.453125" style="645" bestFit="1" customWidth="1"/>
    <col min="1802" max="1802" width="14.54296875" style="645" bestFit="1" customWidth="1"/>
    <col min="1803" max="2048" width="9.1796875" style="645"/>
    <col min="2049" max="2049" width="34.54296875" style="645" customWidth="1"/>
    <col min="2050" max="2050" width="24.7265625" style="645" customWidth="1"/>
    <col min="2051" max="2051" width="19.26953125" style="645" customWidth="1"/>
    <col min="2052" max="2053" width="14.1796875" style="645" customWidth="1"/>
    <col min="2054" max="2054" width="17.54296875" style="645" customWidth="1"/>
    <col min="2055" max="2055" width="17.81640625" style="645" customWidth="1"/>
    <col min="2056" max="2056" width="14.54296875" style="645" bestFit="1" customWidth="1"/>
    <col min="2057" max="2057" width="12.453125" style="645" bestFit="1" customWidth="1"/>
    <col min="2058" max="2058" width="14.54296875" style="645" bestFit="1" customWidth="1"/>
    <col min="2059" max="2304" width="9.1796875" style="645"/>
    <col min="2305" max="2305" width="34.54296875" style="645" customWidth="1"/>
    <col min="2306" max="2306" width="24.7265625" style="645" customWidth="1"/>
    <col min="2307" max="2307" width="19.26953125" style="645" customWidth="1"/>
    <col min="2308" max="2309" width="14.1796875" style="645" customWidth="1"/>
    <col min="2310" max="2310" width="17.54296875" style="645" customWidth="1"/>
    <col min="2311" max="2311" width="17.81640625" style="645" customWidth="1"/>
    <col min="2312" max="2312" width="14.54296875" style="645" bestFit="1" customWidth="1"/>
    <col min="2313" max="2313" width="12.453125" style="645" bestFit="1" customWidth="1"/>
    <col min="2314" max="2314" width="14.54296875" style="645" bestFit="1" customWidth="1"/>
    <col min="2315" max="2560" width="9.1796875" style="645"/>
    <col min="2561" max="2561" width="34.54296875" style="645" customWidth="1"/>
    <col min="2562" max="2562" width="24.7265625" style="645" customWidth="1"/>
    <col min="2563" max="2563" width="19.26953125" style="645" customWidth="1"/>
    <col min="2564" max="2565" width="14.1796875" style="645" customWidth="1"/>
    <col min="2566" max="2566" width="17.54296875" style="645" customWidth="1"/>
    <col min="2567" max="2567" width="17.81640625" style="645" customWidth="1"/>
    <col min="2568" max="2568" width="14.54296875" style="645" bestFit="1" customWidth="1"/>
    <col min="2569" max="2569" width="12.453125" style="645" bestFit="1" customWidth="1"/>
    <col min="2570" max="2570" width="14.54296875" style="645" bestFit="1" customWidth="1"/>
    <col min="2571" max="2816" width="9.1796875" style="645"/>
    <col min="2817" max="2817" width="34.54296875" style="645" customWidth="1"/>
    <col min="2818" max="2818" width="24.7265625" style="645" customWidth="1"/>
    <col min="2819" max="2819" width="19.26953125" style="645" customWidth="1"/>
    <col min="2820" max="2821" width="14.1796875" style="645" customWidth="1"/>
    <col min="2822" max="2822" width="17.54296875" style="645" customWidth="1"/>
    <col min="2823" max="2823" width="17.81640625" style="645" customWidth="1"/>
    <col min="2824" max="2824" width="14.54296875" style="645" bestFit="1" customWidth="1"/>
    <col min="2825" max="2825" width="12.453125" style="645" bestFit="1" customWidth="1"/>
    <col min="2826" max="2826" width="14.54296875" style="645" bestFit="1" customWidth="1"/>
    <col min="2827" max="3072" width="9.1796875" style="645"/>
    <col min="3073" max="3073" width="34.54296875" style="645" customWidth="1"/>
    <col min="3074" max="3074" width="24.7265625" style="645" customWidth="1"/>
    <col min="3075" max="3075" width="19.26953125" style="645" customWidth="1"/>
    <col min="3076" max="3077" width="14.1796875" style="645" customWidth="1"/>
    <col min="3078" max="3078" width="17.54296875" style="645" customWidth="1"/>
    <col min="3079" max="3079" width="17.81640625" style="645" customWidth="1"/>
    <col min="3080" max="3080" width="14.54296875" style="645" bestFit="1" customWidth="1"/>
    <col min="3081" max="3081" width="12.453125" style="645" bestFit="1" customWidth="1"/>
    <col min="3082" max="3082" width="14.54296875" style="645" bestFit="1" customWidth="1"/>
    <col min="3083" max="3328" width="9.1796875" style="645"/>
    <col min="3329" max="3329" width="34.54296875" style="645" customWidth="1"/>
    <col min="3330" max="3330" width="24.7265625" style="645" customWidth="1"/>
    <col min="3331" max="3331" width="19.26953125" style="645" customWidth="1"/>
    <col min="3332" max="3333" width="14.1796875" style="645" customWidth="1"/>
    <col min="3334" max="3334" width="17.54296875" style="645" customWidth="1"/>
    <col min="3335" max="3335" width="17.81640625" style="645" customWidth="1"/>
    <col min="3336" max="3336" width="14.54296875" style="645" bestFit="1" customWidth="1"/>
    <col min="3337" max="3337" width="12.453125" style="645" bestFit="1" customWidth="1"/>
    <col min="3338" max="3338" width="14.54296875" style="645" bestFit="1" customWidth="1"/>
    <col min="3339" max="3584" width="9.1796875" style="645"/>
    <col min="3585" max="3585" width="34.54296875" style="645" customWidth="1"/>
    <col min="3586" max="3586" width="24.7265625" style="645" customWidth="1"/>
    <col min="3587" max="3587" width="19.26953125" style="645" customWidth="1"/>
    <col min="3588" max="3589" width="14.1796875" style="645" customWidth="1"/>
    <col min="3590" max="3590" width="17.54296875" style="645" customWidth="1"/>
    <col min="3591" max="3591" width="17.81640625" style="645" customWidth="1"/>
    <col min="3592" max="3592" width="14.54296875" style="645" bestFit="1" customWidth="1"/>
    <col min="3593" max="3593" width="12.453125" style="645" bestFit="1" customWidth="1"/>
    <col min="3594" max="3594" width="14.54296875" style="645" bestFit="1" customWidth="1"/>
    <col min="3595" max="3840" width="9.1796875" style="645"/>
    <col min="3841" max="3841" width="34.54296875" style="645" customWidth="1"/>
    <col min="3842" max="3842" width="24.7265625" style="645" customWidth="1"/>
    <col min="3843" max="3843" width="19.26953125" style="645" customWidth="1"/>
    <col min="3844" max="3845" width="14.1796875" style="645" customWidth="1"/>
    <col min="3846" max="3846" width="17.54296875" style="645" customWidth="1"/>
    <col min="3847" max="3847" width="17.81640625" style="645" customWidth="1"/>
    <col min="3848" max="3848" width="14.54296875" style="645" bestFit="1" customWidth="1"/>
    <col min="3849" max="3849" width="12.453125" style="645" bestFit="1" customWidth="1"/>
    <col min="3850" max="3850" width="14.54296875" style="645" bestFit="1" customWidth="1"/>
    <col min="3851" max="4096" width="9.1796875" style="645"/>
    <col min="4097" max="4097" width="34.54296875" style="645" customWidth="1"/>
    <col min="4098" max="4098" width="24.7265625" style="645" customWidth="1"/>
    <col min="4099" max="4099" width="19.26953125" style="645" customWidth="1"/>
    <col min="4100" max="4101" width="14.1796875" style="645" customWidth="1"/>
    <col min="4102" max="4102" width="17.54296875" style="645" customWidth="1"/>
    <col min="4103" max="4103" width="17.81640625" style="645" customWidth="1"/>
    <col min="4104" max="4104" width="14.54296875" style="645" bestFit="1" customWidth="1"/>
    <col min="4105" max="4105" width="12.453125" style="645" bestFit="1" customWidth="1"/>
    <col min="4106" max="4106" width="14.54296875" style="645" bestFit="1" customWidth="1"/>
    <col min="4107" max="4352" width="9.1796875" style="645"/>
    <col min="4353" max="4353" width="34.54296875" style="645" customWidth="1"/>
    <col min="4354" max="4354" width="24.7265625" style="645" customWidth="1"/>
    <col min="4355" max="4355" width="19.26953125" style="645" customWidth="1"/>
    <col min="4356" max="4357" width="14.1796875" style="645" customWidth="1"/>
    <col min="4358" max="4358" width="17.54296875" style="645" customWidth="1"/>
    <col min="4359" max="4359" width="17.81640625" style="645" customWidth="1"/>
    <col min="4360" max="4360" width="14.54296875" style="645" bestFit="1" customWidth="1"/>
    <col min="4361" max="4361" width="12.453125" style="645" bestFit="1" customWidth="1"/>
    <col min="4362" max="4362" width="14.54296875" style="645" bestFit="1" customWidth="1"/>
    <col min="4363" max="4608" width="9.1796875" style="645"/>
    <col min="4609" max="4609" width="34.54296875" style="645" customWidth="1"/>
    <col min="4610" max="4610" width="24.7265625" style="645" customWidth="1"/>
    <col min="4611" max="4611" width="19.26953125" style="645" customWidth="1"/>
    <col min="4612" max="4613" width="14.1796875" style="645" customWidth="1"/>
    <col min="4614" max="4614" width="17.54296875" style="645" customWidth="1"/>
    <col min="4615" max="4615" width="17.81640625" style="645" customWidth="1"/>
    <col min="4616" max="4616" width="14.54296875" style="645" bestFit="1" customWidth="1"/>
    <col min="4617" max="4617" width="12.453125" style="645" bestFit="1" customWidth="1"/>
    <col min="4618" max="4618" width="14.54296875" style="645" bestFit="1" customWidth="1"/>
    <col min="4619" max="4864" width="9.1796875" style="645"/>
    <col min="4865" max="4865" width="34.54296875" style="645" customWidth="1"/>
    <col min="4866" max="4866" width="24.7265625" style="645" customWidth="1"/>
    <col min="4867" max="4867" width="19.26953125" style="645" customWidth="1"/>
    <col min="4868" max="4869" width="14.1796875" style="645" customWidth="1"/>
    <col min="4870" max="4870" width="17.54296875" style="645" customWidth="1"/>
    <col min="4871" max="4871" width="17.81640625" style="645" customWidth="1"/>
    <col min="4872" max="4872" width="14.54296875" style="645" bestFit="1" customWidth="1"/>
    <col min="4873" max="4873" width="12.453125" style="645" bestFit="1" customWidth="1"/>
    <col min="4874" max="4874" width="14.54296875" style="645" bestFit="1" customWidth="1"/>
    <col min="4875" max="5120" width="9.1796875" style="645"/>
    <col min="5121" max="5121" width="34.54296875" style="645" customWidth="1"/>
    <col min="5122" max="5122" width="24.7265625" style="645" customWidth="1"/>
    <col min="5123" max="5123" width="19.26953125" style="645" customWidth="1"/>
    <col min="5124" max="5125" width="14.1796875" style="645" customWidth="1"/>
    <col min="5126" max="5126" width="17.54296875" style="645" customWidth="1"/>
    <col min="5127" max="5127" width="17.81640625" style="645" customWidth="1"/>
    <col min="5128" max="5128" width="14.54296875" style="645" bestFit="1" customWidth="1"/>
    <col min="5129" max="5129" width="12.453125" style="645" bestFit="1" customWidth="1"/>
    <col min="5130" max="5130" width="14.54296875" style="645" bestFit="1" customWidth="1"/>
    <col min="5131" max="5376" width="9.1796875" style="645"/>
    <col min="5377" max="5377" width="34.54296875" style="645" customWidth="1"/>
    <col min="5378" max="5378" width="24.7265625" style="645" customWidth="1"/>
    <col min="5379" max="5379" width="19.26953125" style="645" customWidth="1"/>
    <col min="5380" max="5381" width="14.1796875" style="645" customWidth="1"/>
    <col min="5382" max="5382" width="17.54296875" style="645" customWidth="1"/>
    <col min="5383" max="5383" width="17.81640625" style="645" customWidth="1"/>
    <col min="5384" max="5384" width="14.54296875" style="645" bestFit="1" customWidth="1"/>
    <col min="5385" max="5385" width="12.453125" style="645" bestFit="1" customWidth="1"/>
    <col min="5386" max="5386" width="14.54296875" style="645" bestFit="1" customWidth="1"/>
    <col min="5387" max="5632" width="9.1796875" style="645"/>
    <col min="5633" max="5633" width="34.54296875" style="645" customWidth="1"/>
    <col min="5634" max="5634" width="24.7265625" style="645" customWidth="1"/>
    <col min="5635" max="5635" width="19.26953125" style="645" customWidth="1"/>
    <col min="5636" max="5637" width="14.1796875" style="645" customWidth="1"/>
    <col min="5638" max="5638" width="17.54296875" style="645" customWidth="1"/>
    <col min="5639" max="5639" width="17.81640625" style="645" customWidth="1"/>
    <col min="5640" max="5640" width="14.54296875" style="645" bestFit="1" customWidth="1"/>
    <col min="5641" max="5641" width="12.453125" style="645" bestFit="1" customWidth="1"/>
    <col min="5642" max="5642" width="14.54296875" style="645" bestFit="1" customWidth="1"/>
    <col min="5643" max="5888" width="9.1796875" style="645"/>
    <col min="5889" max="5889" width="34.54296875" style="645" customWidth="1"/>
    <col min="5890" max="5890" width="24.7265625" style="645" customWidth="1"/>
    <col min="5891" max="5891" width="19.26953125" style="645" customWidth="1"/>
    <col min="5892" max="5893" width="14.1796875" style="645" customWidth="1"/>
    <col min="5894" max="5894" width="17.54296875" style="645" customWidth="1"/>
    <col min="5895" max="5895" width="17.81640625" style="645" customWidth="1"/>
    <col min="5896" max="5896" width="14.54296875" style="645" bestFit="1" customWidth="1"/>
    <col min="5897" max="5897" width="12.453125" style="645" bestFit="1" customWidth="1"/>
    <col min="5898" max="5898" width="14.54296875" style="645" bestFit="1" customWidth="1"/>
    <col min="5899" max="6144" width="9.1796875" style="645"/>
    <col min="6145" max="6145" width="34.54296875" style="645" customWidth="1"/>
    <col min="6146" max="6146" width="24.7265625" style="645" customWidth="1"/>
    <col min="6147" max="6147" width="19.26953125" style="645" customWidth="1"/>
    <col min="6148" max="6149" width="14.1796875" style="645" customWidth="1"/>
    <col min="6150" max="6150" width="17.54296875" style="645" customWidth="1"/>
    <col min="6151" max="6151" width="17.81640625" style="645" customWidth="1"/>
    <col min="6152" max="6152" width="14.54296875" style="645" bestFit="1" customWidth="1"/>
    <col min="6153" max="6153" width="12.453125" style="645" bestFit="1" customWidth="1"/>
    <col min="6154" max="6154" width="14.54296875" style="645" bestFit="1" customWidth="1"/>
    <col min="6155" max="6400" width="9.1796875" style="645"/>
    <col min="6401" max="6401" width="34.54296875" style="645" customWidth="1"/>
    <col min="6402" max="6402" width="24.7265625" style="645" customWidth="1"/>
    <col min="6403" max="6403" width="19.26953125" style="645" customWidth="1"/>
    <col min="6404" max="6405" width="14.1796875" style="645" customWidth="1"/>
    <col min="6406" max="6406" width="17.54296875" style="645" customWidth="1"/>
    <col min="6407" max="6407" width="17.81640625" style="645" customWidth="1"/>
    <col min="6408" max="6408" width="14.54296875" style="645" bestFit="1" customWidth="1"/>
    <col min="6409" max="6409" width="12.453125" style="645" bestFit="1" customWidth="1"/>
    <col min="6410" max="6410" width="14.54296875" style="645" bestFit="1" customWidth="1"/>
    <col min="6411" max="6656" width="9.1796875" style="645"/>
    <col min="6657" max="6657" width="34.54296875" style="645" customWidth="1"/>
    <col min="6658" max="6658" width="24.7265625" style="645" customWidth="1"/>
    <col min="6659" max="6659" width="19.26953125" style="645" customWidth="1"/>
    <col min="6660" max="6661" width="14.1796875" style="645" customWidth="1"/>
    <col min="6662" max="6662" width="17.54296875" style="645" customWidth="1"/>
    <col min="6663" max="6663" width="17.81640625" style="645" customWidth="1"/>
    <col min="6664" max="6664" width="14.54296875" style="645" bestFit="1" customWidth="1"/>
    <col min="6665" max="6665" width="12.453125" style="645" bestFit="1" customWidth="1"/>
    <col min="6666" max="6666" width="14.54296875" style="645" bestFit="1" customWidth="1"/>
    <col min="6667" max="6912" width="9.1796875" style="645"/>
    <col min="6913" max="6913" width="34.54296875" style="645" customWidth="1"/>
    <col min="6914" max="6914" width="24.7265625" style="645" customWidth="1"/>
    <col min="6915" max="6915" width="19.26953125" style="645" customWidth="1"/>
    <col min="6916" max="6917" width="14.1796875" style="645" customWidth="1"/>
    <col min="6918" max="6918" width="17.54296875" style="645" customWidth="1"/>
    <col min="6919" max="6919" width="17.81640625" style="645" customWidth="1"/>
    <col min="6920" max="6920" width="14.54296875" style="645" bestFit="1" customWidth="1"/>
    <col min="6921" max="6921" width="12.453125" style="645" bestFit="1" customWidth="1"/>
    <col min="6922" max="6922" width="14.54296875" style="645" bestFit="1" customWidth="1"/>
    <col min="6923" max="7168" width="9.1796875" style="645"/>
    <col min="7169" max="7169" width="34.54296875" style="645" customWidth="1"/>
    <col min="7170" max="7170" width="24.7265625" style="645" customWidth="1"/>
    <col min="7171" max="7171" width="19.26953125" style="645" customWidth="1"/>
    <col min="7172" max="7173" width="14.1796875" style="645" customWidth="1"/>
    <col min="7174" max="7174" width="17.54296875" style="645" customWidth="1"/>
    <col min="7175" max="7175" width="17.81640625" style="645" customWidth="1"/>
    <col min="7176" max="7176" width="14.54296875" style="645" bestFit="1" customWidth="1"/>
    <col min="7177" max="7177" width="12.453125" style="645" bestFit="1" customWidth="1"/>
    <col min="7178" max="7178" width="14.54296875" style="645" bestFit="1" customWidth="1"/>
    <col min="7179" max="7424" width="9.1796875" style="645"/>
    <col min="7425" max="7425" width="34.54296875" style="645" customWidth="1"/>
    <col min="7426" max="7426" width="24.7265625" style="645" customWidth="1"/>
    <col min="7427" max="7427" width="19.26953125" style="645" customWidth="1"/>
    <col min="7428" max="7429" width="14.1796875" style="645" customWidth="1"/>
    <col min="7430" max="7430" width="17.54296875" style="645" customWidth="1"/>
    <col min="7431" max="7431" width="17.81640625" style="645" customWidth="1"/>
    <col min="7432" max="7432" width="14.54296875" style="645" bestFit="1" customWidth="1"/>
    <col min="7433" max="7433" width="12.453125" style="645" bestFit="1" customWidth="1"/>
    <col min="7434" max="7434" width="14.54296875" style="645" bestFit="1" customWidth="1"/>
    <col min="7435" max="7680" width="9.1796875" style="645"/>
    <col min="7681" max="7681" width="34.54296875" style="645" customWidth="1"/>
    <col min="7682" max="7682" width="24.7265625" style="645" customWidth="1"/>
    <col min="7683" max="7683" width="19.26953125" style="645" customWidth="1"/>
    <col min="7684" max="7685" width="14.1796875" style="645" customWidth="1"/>
    <col min="7686" max="7686" width="17.54296875" style="645" customWidth="1"/>
    <col min="7687" max="7687" width="17.81640625" style="645" customWidth="1"/>
    <col min="7688" max="7688" width="14.54296875" style="645" bestFit="1" customWidth="1"/>
    <col min="7689" max="7689" width="12.453125" style="645" bestFit="1" customWidth="1"/>
    <col min="7690" max="7690" width="14.54296875" style="645" bestFit="1" customWidth="1"/>
    <col min="7691" max="7936" width="9.1796875" style="645"/>
    <col min="7937" max="7937" width="34.54296875" style="645" customWidth="1"/>
    <col min="7938" max="7938" width="24.7265625" style="645" customWidth="1"/>
    <col min="7939" max="7939" width="19.26953125" style="645" customWidth="1"/>
    <col min="7940" max="7941" width="14.1796875" style="645" customWidth="1"/>
    <col min="7942" max="7942" width="17.54296875" style="645" customWidth="1"/>
    <col min="7943" max="7943" width="17.81640625" style="645" customWidth="1"/>
    <col min="7944" max="7944" width="14.54296875" style="645" bestFit="1" customWidth="1"/>
    <col min="7945" max="7945" width="12.453125" style="645" bestFit="1" customWidth="1"/>
    <col min="7946" max="7946" width="14.54296875" style="645" bestFit="1" customWidth="1"/>
    <col min="7947" max="8192" width="9.1796875" style="645"/>
    <col min="8193" max="8193" width="34.54296875" style="645" customWidth="1"/>
    <col min="8194" max="8194" width="24.7265625" style="645" customWidth="1"/>
    <col min="8195" max="8195" width="19.26953125" style="645" customWidth="1"/>
    <col min="8196" max="8197" width="14.1796875" style="645" customWidth="1"/>
    <col min="8198" max="8198" width="17.54296875" style="645" customWidth="1"/>
    <col min="8199" max="8199" width="17.81640625" style="645" customWidth="1"/>
    <col min="8200" max="8200" width="14.54296875" style="645" bestFit="1" customWidth="1"/>
    <col min="8201" max="8201" width="12.453125" style="645" bestFit="1" customWidth="1"/>
    <col min="8202" max="8202" width="14.54296875" style="645" bestFit="1" customWidth="1"/>
    <col min="8203" max="8448" width="9.1796875" style="645"/>
    <col min="8449" max="8449" width="34.54296875" style="645" customWidth="1"/>
    <col min="8450" max="8450" width="24.7265625" style="645" customWidth="1"/>
    <col min="8451" max="8451" width="19.26953125" style="645" customWidth="1"/>
    <col min="8452" max="8453" width="14.1796875" style="645" customWidth="1"/>
    <col min="8454" max="8454" width="17.54296875" style="645" customWidth="1"/>
    <col min="8455" max="8455" width="17.81640625" style="645" customWidth="1"/>
    <col min="8456" max="8456" width="14.54296875" style="645" bestFit="1" customWidth="1"/>
    <col min="8457" max="8457" width="12.453125" style="645" bestFit="1" customWidth="1"/>
    <col min="8458" max="8458" width="14.54296875" style="645" bestFit="1" customWidth="1"/>
    <col min="8459" max="8704" width="9.1796875" style="645"/>
    <col min="8705" max="8705" width="34.54296875" style="645" customWidth="1"/>
    <col min="8706" max="8706" width="24.7265625" style="645" customWidth="1"/>
    <col min="8707" max="8707" width="19.26953125" style="645" customWidth="1"/>
    <col min="8708" max="8709" width="14.1796875" style="645" customWidth="1"/>
    <col min="8710" max="8710" width="17.54296875" style="645" customWidth="1"/>
    <col min="8711" max="8711" width="17.81640625" style="645" customWidth="1"/>
    <col min="8712" max="8712" width="14.54296875" style="645" bestFit="1" customWidth="1"/>
    <col min="8713" max="8713" width="12.453125" style="645" bestFit="1" customWidth="1"/>
    <col min="8714" max="8714" width="14.54296875" style="645" bestFit="1" customWidth="1"/>
    <col min="8715" max="8960" width="9.1796875" style="645"/>
    <col min="8961" max="8961" width="34.54296875" style="645" customWidth="1"/>
    <col min="8962" max="8962" width="24.7265625" style="645" customWidth="1"/>
    <col min="8963" max="8963" width="19.26953125" style="645" customWidth="1"/>
    <col min="8964" max="8965" width="14.1796875" style="645" customWidth="1"/>
    <col min="8966" max="8966" width="17.54296875" style="645" customWidth="1"/>
    <col min="8967" max="8967" width="17.81640625" style="645" customWidth="1"/>
    <col min="8968" max="8968" width="14.54296875" style="645" bestFit="1" customWidth="1"/>
    <col min="8969" max="8969" width="12.453125" style="645" bestFit="1" customWidth="1"/>
    <col min="8970" max="8970" width="14.54296875" style="645" bestFit="1" customWidth="1"/>
    <col min="8971" max="9216" width="9.1796875" style="645"/>
    <col min="9217" max="9217" width="34.54296875" style="645" customWidth="1"/>
    <col min="9218" max="9218" width="24.7265625" style="645" customWidth="1"/>
    <col min="9219" max="9219" width="19.26953125" style="645" customWidth="1"/>
    <col min="9220" max="9221" width="14.1796875" style="645" customWidth="1"/>
    <col min="9222" max="9222" width="17.54296875" style="645" customWidth="1"/>
    <col min="9223" max="9223" width="17.81640625" style="645" customWidth="1"/>
    <col min="9224" max="9224" width="14.54296875" style="645" bestFit="1" customWidth="1"/>
    <col min="9225" max="9225" width="12.453125" style="645" bestFit="1" customWidth="1"/>
    <col min="9226" max="9226" width="14.54296875" style="645" bestFit="1" customWidth="1"/>
    <col min="9227" max="9472" width="9.1796875" style="645"/>
    <col min="9473" max="9473" width="34.54296875" style="645" customWidth="1"/>
    <col min="9474" max="9474" width="24.7265625" style="645" customWidth="1"/>
    <col min="9475" max="9475" width="19.26953125" style="645" customWidth="1"/>
    <col min="9476" max="9477" width="14.1796875" style="645" customWidth="1"/>
    <col min="9478" max="9478" width="17.54296875" style="645" customWidth="1"/>
    <col min="9479" max="9479" width="17.81640625" style="645" customWidth="1"/>
    <col min="9480" max="9480" width="14.54296875" style="645" bestFit="1" customWidth="1"/>
    <col min="9481" max="9481" width="12.453125" style="645" bestFit="1" customWidth="1"/>
    <col min="9482" max="9482" width="14.54296875" style="645" bestFit="1" customWidth="1"/>
    <col min="9483" max="9728" width="9.1796875" style="645"/>
    <col min="9729" max="9729" width="34.54296875" style="645" customWidth="1"/>
    <col min="9730" max="9730" width="24.7265625" style="645" customWidth="1"/>
    <col min="9731" max="9731" width="19.26953125" style="645" customWidth="1"/>
    <col min="9732" max="9733" width="14.1796875" style="645" customWidth="1"/>
    <col min="9734" max="9734" width="17.54296875" style="645" customWidth="1"/>
    <col min="9735" max="9735" width="17.81640625" style="645" customWidth="1"/>
    <col min="9736" max="9736" width="14.54296875" style="645" bestFit="1" customWidth="1"/>
    <col min="9737" max="9737" width="12.453125" style="645" bestFit="1" customWidth="1"/>
    <col min="9738" max="9738" width="14.54296875" style="645" bestFit="1" customWidth="1"/>
    <col min="9739" max="9984" width="9.1796875" style="645"/>
    <col min="9985" max="9985" width="34.54296875" style="645" customWidth="1"/>
    <col min="9986" max="9986" width="24.7265625" style="645" customWidth="1"/>
    <col min="9987" max="9987" width="19.26953125" style="645" customWidth="1"/>
    <col min="9988" max="9989" width="14.1796875" style="645" customWidth="1"/>
    <col min="9990" max="9990" width="17.54296875" style="645" customWidth="1"/>
    <col min="9991" max="9991" width="17.81640625" style="645" customWidth="1"/>
    <col min="9992" max="9992" width="14.54296875" style="645" bestFit="1" customWidth="1"/>
    <col min="9993" max="9993" width="12.453125" style="645" bestFit="1" customWidth="1"/>
    <col min="9994" max="9994" width="14.54296875" style="645" bestFit="1" customWidth="1"/>
    <col min="9995" max="10240" width="9.1796875" style="645"/>
    <col min="10241" max="10241" width="34.54296875" style="645" customWidth="1"/>
    <col min="10242" max="10242" width="24.7265625" style="645" customWidth="1"/>
    <col min="10243" max="10243" width="19.26953125" style="645" customWidth="1"/>
    <col min="10244" max="10245" width="14.1796875" style="645" customWidth="1"/>
    <col min="10246" max="10246" width="17.54296875" style="645" customWidth="1"/>
    <col min="10247" max="10247" width="17.81640625" style="645" customWidth="1"/>
    <col min="10248" max="10248" width="14.54296875" style="645" bestFit="1" customWidth="1"/>
    <col min="10249" max="10249" width="12.453125" style="645" bestFit="1" customWidth="1"/>
    <col min="10250" max="10250" width="14.54296875" style="645" bestFit="1" customWidth="1"/>
    <col min="10251" max="10496" width="9.1796875" style="645"/>
    <col min="10497" max="10497" width="34.54296875" style="645" customWidth="1"/>
    <col min="10498" max="10498" width="24.7265625" style="645" customWidth="1"/>
    <col min="10499" max="10499" width="19.26953125" style="645" customWidth="1"/>
    <col min="10500" max="10501" width="14.1796875" style="645" customWidth="1"/>
    <col min="10502" max="10502" width="17.54296875" style="645" customWidth="1"/>
    <col min="10503" max="10503" width="17.81640625" style="645" customWidth="1"/>
    <col min="10504" max="10504" width="14.54296875" style="645" bestFit="1" customWidth="1"/>
    <col min="10505" max="10505" width="12.453125" style="645" bestFit="1" customWidth="1"/>
    <col min="10506" max="10506" width="14.54296875" style="645" bestFit="1" customWidth="1"/>
    <col min="10507" max="10752" width="9.1796875" style="645"/>
    <col min="10753" max="10753" width="34.54296875" style="645" customWidth="1"/>
    <col min="10754" max="10754" width="24.7265625" style="645" customWidth="1"/>
    <col min="10755" max="10755" width="19.26953125" style="645" customWidth="1"/>
    <col min="10756" max="10757" width="14.1796875" style="645" customWidth="1"/>
    <col min="10758" max="10758" width="17.54296875" style="645" customWidth="1"/>
    <col min="10759" max="10759" width="17.81640625" style="645" customWidth="1"/>
    <col min="10760" max="10760" width="14.54296875" style="645" bestFit="1" customWidth="1"/>
    <col min="10761" max="10761" width="12.453125" style="645" bestFit="1" customWidth="1"/>
    <col min="10762" max="10762" width="14.54296875" style="645" bestFit="1" customWidth="1"/>
    <col min="10763" max="11008" width="9.1796875" style="645"/>
    <col min="11009" max="11009" width="34.54296875" style="645" customWidth="1"/>
    <col min="11010" max="11010" width="24.7265625" style="645" customWidth="1"/>
    <col min="11011" max="11011" width="19.26953125" style="645" customWidth="1"/>
    <col min="11012" max="11013" width="14.1796875" style="645" customWidth="1"/>
    <col min="11014" max="11014" width="17.54296875" style="645" customWidth="1"/>
    <col min="11015" max="11015" width="17.81640625" style="645" customWidth="1"/>
    <col min="11016" max="11016" width="14.54296875" style="645" bestFit="1" customWidth="1"/>
    <col min="11017" max="11017" width="12.453125" style="645" bestFit="1" customWidth="1"/>
    <col min="11018" max="11018" width="14.54296875" style="645" bestFit="1" customWidth="1"/>
    <col min="11019" max="11264" width="9.1796875" style="645"/>
    <col min="11265" max="11265" width="34.54296875" style="645" customWidth="1"/>
    <col min="11266" max="11266" width="24.7265625" style="645" customWidth="1"/>
    <col min="11267" max="11267" width="19.26953125" style="645" customWidth="1"/>
    <col min="11268" max="11269" width="14.1796875" style="645" customWidth="1"/>
    <col min="11270" max="11270" width="17.54296875" style="645" customWidth="1"/>
    <col min="11271" max="11271" width="17.81640625" style="645" customWidth="1"/>
    <col min="11272" max="11272" width="14.54296875" style="645" bestFit="1" customWidth="1"/>
    <col min="11273" max="11273" width="12.453125" style="645" bestFit="1" customWidth="1"/>
    <col min="11274" max="11274" width="14.54296875" style="645" bestFit="1" customWidth="1"/>
    <col min="11275" max="11520" width="9.1796875" style="645"/>
    <col min="11521" max="11521" width="34.54296875" style="645" customWidth="1"/>
    <col min="11522" max="11522" width="24.7265625" style="645" customWidth="1"/>
    <col min="11523" max="11523" width="19.26953125" style="645" customWidth="1"/>
    <col min="11524" max="11525" width="14.1796875" style="645" customWidth="1"/>
    <col min="11526" max="11526" width="17.54296875" style="645" customWidth="1"/>
    <col min="11527" max="11527" width="17.81640625" style="645" customWidth="1"/>
    <col min="11528" max="11528" width="14.54296875" style="645" bestFit="1" customWidth="1"/>
    <col min="11529" max="11529" width="12.453125" style="645" bestFit="1" customWidth="1"/>
    <col min="11530" max="11530" width="14.54296875" style="645" bestFit="1" customWidth="1"/>
    <col min="11531" max="11776" width="9.1796875" style="645"/>
    <col min="11777" max="11777" width="34.54296875" style="645" customWidth="1"/>
    <col min="11778" max="11778" width="24.7265625" style="645" customWidth="1"/>
    <col min="11779" max="11779" width="19.26953125" style="645" customWidth="1"/>
    <col min="11780" max="11781" width="14.1796875" style="645" customWidth="1"/>
    <col min="11782" max="11782" width="17.54296875" style="645" customWidth="1"/>
    <col min="11783" max="11783" width="17.81640625" style="645" customWidth="1"/>
    <col min="11784" max="11784" width="14.54296875" style="645" bestFit="1" customWidth="1"/>
    <col min="11785" max="11785" width="12.453125" style="645" bestFit="1" customWidth="1"/>
    <col min="11786" max="11786" width="14.54296875" style="645" bestFit="1" customWidth="1"/>
    <col min="11787" max="12032" width="9.1796875" style="645"/>
    <col min="12033" max="12033" width="34.54296875" style="645" customWidth="1"/>
    <col min="12034" max="12034" width="24.7265625" style="645" customWidth="1"/>
    <col min="12035" max="12035" width="19.26953125" style="645" customWidth="1"/>
    <col min="12036" max="12037" width="14.1796875" style="645" customWidth="1"/>
    <col min="12038" max="12038" width="17.54296875" style="645" customWidth="1"/>
    <col min="12039" max="12039" width="17.81640625" style="645" customWidth="1"/>
    <col min="12040" max="12040" width="14.54296875" style="645" bestFit="1" customWidth="1"/>
    <col min="12041" max="12041" width="12.453125" style="645" bestFit="1" customWidth="1"/>
    <col min="12042" max="12042" width="14.54296875" style="645" bestFit="1" customWidth="1"/>
    <col min="12043" max="12288" width="9.1796875" style="645"/>
    <col min="12289" max="12289" width="34.54296875" style="645" customWidth="1"/>
    <col min="12290" max="12290" width="24.7265625" style="645" customWidth="1"/>
    <col min="12291" max="12291" width="19.26953125" style="645" customWidth="1"/>
    <col min="12292" max="12293" width="14.1796875" style="645" customWidth="1"/>
    <col min="12294" max="12294" width="17.54296875" style="645" customWidth="1"/>
    <col min="12295" max="12295" width="17.81640625" style="645" customWidth="1"/>
    <col min="12296" max="12296" width="14.54296875" style="645" bestFit="1" customWidth="1"/>
    <col min="12297" max="12297" width="12.453125" style="645" bestFit="1" customWidth="1"/>
    <col min="12298" max="12298" width="14.54296875" style="645" bestFit="1" customWidth="1"/>
    <col min="12299" max="12544" width="9.1796875" style="645"/>
    <col min="12545" max="12545" width="34.54296875" style="645" customWidth="1"/>
    <col min="12546" max="12546" width="24.7265625" style="645" customWidth="1"/>
    <col min="12547" max="12547" width="19.26953125" style="645" customWidth="1"/>
    <col min="12548" max="12549" width="14.1796875" style="645" customWidth="1"/>
    <col min="12550" max="12550" width="17.54296875" style="645" customWidth="1"/>
    <col min="12551" max="12551" width="17.81640625" style="645" customWidth="1"/>
    <col min="12552" max="12552" width="14.54296875" style="645" bestFit="1" customWidth="1"/>
    <col min="12553" max="12553" width="12.453125" style="645" bestFit="1" customWidth="1"/>
    <col min="12554" max="12554" width="14.54296875" style="645" bestFit="1" customWidth="1"/>
    <col min="12555" max="12800" width="9.1796875" style="645"/>
    <col min="12801" max="12801" width="34.54296875" style="645" customWidth="1"/>
    <col min="12802" max="12802" width="24.7265625" style="645" customWidth="1"/>
    <col min="12803" max="12803" width="19.26953125" style="645" customWidth="1"/>
    <col min="12804" max="12805" width="14.1796875" style="645" customWidth="1"/>
    <col min="12806" max="12806" width="17.54296875" style="645" customWidth="1"/>
    <col min="12807" max="12807" width="17.81640625" style="645" customWidth="1"/>
    <col min="12808" max="12808" width="14.54296875" style="645" bestFit="1" customWidth="1"/>
    <col min="12809" max="12809" width="12.453125" style="645" bestFit="1" customWidth="1"/>
    <col min="12810" max="12810" width="14.54296875" style="645" bestFit="1" customWidth="1"/>
    <col min="12811" max="13056" width="9.1796875" style="645"/>
    <col min="13057" max="13057" width="34.54296875" style="645" customWidth="1"/>
    <col min="13058" max="13058" width="24.7265625" style="645" customWidth="1"/>
    <col min="13059" max="13059" width="19.26953125" style="645" customWidth="1"/>
    <col min="13060" max="13061" width="14.1796875" style="645" customWidth="1"/>
    <col min="13062" max="13062" width="17.54296875" style="645" customWidth="1"/>
    <col min="13063" max="13063" width="17.81640625" style="645" customWidth="1"/>
    <col min="13064" max="13064" width="14.54296875" style="645" bestFit="1" customWidth="1"/>
    <col min="13065" max="13065" width="12.453125" style="645" bestFit="1" customWidth="1"/>
    <col min="13066" max="13066" width="14.54296875" style="645" bestFit="1" customWidth="1"/>
    <col min="13067" max="13312" width="9.1796875" style="645"/>
    <col min="13313" max="13313" width="34.54296875" style="645" customWidth="1"/>
    <col min="13314" max="13314" width="24.7265625" style="645" customWidth="1"/>
    <col min="13315" max="13315" width="19.26953125" style="645" customWidth="1"/>
    <col min="13316" max="13317" width="14.1796875" style="645" customWidth="1"/>
    <col min="13318" max="13318" width="17.54296875" style="645" customWidth="1"/>
    <col min="13319" max="13319" width="17.81640625" style="645" customWidth="1"/>
    <col min="13320" max="13320" width="14.54296875" style="645" bestFit="1" customWidth="1"/>
    <col min="13321" max="13321" width="12.453125" style="645" bestFit="1" customWidth="1"/>
    <col min="13322" max="13322" width="14.54296875" style="645" bestFit="1" customWidth="1"/>
    <col min="13323" max="13568" width="9.1796875" style="645"/>
    <col min="13569" max="13569" width="34.54296875" style="645" customWidth="1"/>
    <col min="13570" max="13570" width="24.7265625" style="645" customWidth="1"/>
    <col min="13571" max="13571" width="19.26953125" style="645" customWidth="1"/>
    <col min="13572" max="13573" width="14.1796875" style="645" customWidth="1"/>
    <col min="13574" max="13574" width="17.54296875" style="645" customWidth="1"/>
    <col min="13575" max="13575" width="17.81640625" style="645" customWidth="1"/>
    <col min="13576" max="13576" width="14.54296875" style="645" bestFit="1" customWidth="1"/>
    <col min="13577" max="13577" width="12.453125" style="645" bestFit="1" customWidth="1"/>
    <col min="13578" max="13578" width="14.54296875" style="645" bestFit="1" customWidth="1"/>
    <col min="13579" max="13824" width="9.1796875" style="645"/>
    <col min="13825" max="13825" width="34.54296875" style="645" customWidth="1"/>
    <col min="13826" max="13826" width="24.7265625" style="645" customWidth="1"/>
    <col min="13827" max="13827" width="19.26953125" style="645" customWidth="1"/>
    <col min="13828" max="13829" width="14.1796875" style="645" customWidth="1"/>
    <col min="13830" max="13830" width="17.54296875" style="645" customWidth="1"/>
    <col min="13831" max="13831" width="17.81640625" style="645" customWidth="1"/>
    <col min="13832" max="13832" width="14.54296875" style="645" bestFit="1" customWidth="1"/>
    <col min="13833" max="13833" width="12.453125" style="645" bestFit="1" customWidth="1"/>
    <col min="13834" max="13834" width="14.54296875" style="645" bestFit="1" customWidth="1"/>
    <col min="13835" max="14080" width="9.1796875" style="645"/>
    <col min="14081" max="14081" width="34.54296875" style="645" customWidth="1"/>
    <col min="14082" max="14082" width="24.7265625" style="645" customWidth="1"/>
    <col min="14083" max="14083" width="19.26953125" style="645" customWidth="1"/>
    <col min="14084" max="14085" width="14.1796875" style="645" customWidth="1"/>
    <col min="14086" max="14086" width="17.54296875" style="645" customWidth="1"/>
    <col min="14087" max="14087" width="17.81640625" style="645" customWidth="1"/>
    <col min="14088" max="14088" width="14.54296875" style="645" bestFit="1" customWidth="1"/>
    <col min="14089" max="14089" width="12.453125" style="645" bestFit="1" customWidth="1"/>
    <col min="14090" max="14090" width="14.54296875" style="645" bestFit="1" customWidth="1"/>
    <col min="14091" max="14336" width="9.1796875" style="645"/>
    <col min="14337" max="14337" width="34.54296875" style="645" customWidth="1"/>
    <col min="14338" max="14338" width="24.7265625" style="645" customWidth="1"/>
    <col min="14339" max="14339" width="19.26953125" style="645" customWidth="1"/>
    <col min="14340" max="14341" width="14.1796875" style="645" customWidth="1"/>
    <col min="14342" max="14342" width="17.54296875" style="645" customWidth="1"/>
    <col min="14343" max="14343" width="17.81640625" style="645" customWidth="1"/>
    <col min="14344" max="14344" width="14.54296875" style="645" bestFit="1" customWidth="1"/>
    <col min="14345" max="14345" width="12.453125" style="645" bestFit="1" customWidth="1"/>
    <col min="14346" max="14346" width="14.54296875" style="645" bestFit="1" customWidth="1"/>
    <col min="14347" max="14592" width="9.1796875" style="645"/>
    <col min="14593" max="14593" width="34.54296875" style="645" customWidth="1"/>
    <col min="14594" max="14594" width="24.7265625" style="645" customWidth="1"/>
    <col min="14595" max="14595" width="19.26953125" style="645" customWidth="1"/>
    <col min="14596" max="14597" width="14.1796875" style="645" customWidth="1"/>
    <col min="14598" max="14598" width="17.54296875" style="645" customWidth="1"/>
    <col min="14599" max="14599" width="17.81640625" style="645" customWidth="1"/>
    <col min="14600" max="14600" width="14.54296875" style="645" bestFit="1" customWidth="1"/>
    <col min="14601" max="14601" width="12.453125" style="645" bestFit="1" customWidth="1"/>
    <col min="14602" max="14602" width="14.54296875" style="645" bestFit="1" customWidth="1"/>
    <col min="14603" max="14848" width="9.1796875" style="645"/>
    <col min="14849" max="14849" width="34.54296875" style="645" customWidth="1"/>
    <col min="14850" max="14850" width="24.7265625" style="645" customWidth="1"/>
    <col min="14851" max="14851" width="19.26953125" style="645" customWidth="1"/>
    <col min="14852" max="14853" width="14.1796875" style="645" customWidth="1"/>
    <col min="14854" max="14854" width="17.54296875" style="645" customWidth="1"/>
    <col min="14855" max="14855" width="17.81640625" style="645" customWidth="1"/>
    <col min="14856" max="14856" width="14.54296875" style="645" bestFit="1" customWidth="1"/>
    <col min="14857" max="14857" width="12.453125" style="645" bestFit="1" customWidth="1"/>
    <col min="14858" max="14858" width="14.54296875" style="645" bestFit="1" customWidth="1"/>
    <col min="14859" max="15104" width="9.1796875" style="645"/>
    <col min="15105" max="15105" width="34.54296875" style="645" customWidth="1"/>
    <col min="15106" max="15106" width="24.7265625" style="645" customWidth="1"/>
    <col min="15107" max="15107" width="19.26953125" style="645" customWidth="1"/>
    <col min="15108" max="15109" width="14.1796875" style="645" customWidth="1"/>
    <col min="15110" max="15110" width="17.54296875" style="645" customWidth="1"/>
    <col min="15111" max="15111" width="17.81640625" style="645" customWidth="1"/>
    <col min="15112" max="15112" width="14.54296875" style="645" bestFit="1" customWidth="1"/>
    <col min="15113" max="15113" width="12.453125" style="645" bestFit="1" customWidth="1"/>
    <col min="15114" max="15114" width="14.54296875" style="645" bestFit="1" customWidth="1"/>
    <col min="15115" max="15360" width="9.1796875" style="645"/>
    <col min="15361" max="15361" width="34.54296875" style="645" customWidth="1"/>
    <col min="15362" max="15362" width="24.7265625" style="645" customWidth="1"/>
    <col min="15363" max="15363" width="19.26953125" style="645" customWidth="1"/>
    <col min="15364" max="15365" width="14.1796875" style="645" customWidth="1"/>
    <col min="15366" max="15366" width="17.54296875" style="645" customWidth="1"/>
    <col min="15367" max="15367" width="17.81640625" style="645" customWidth="1"/>
    <col min="15368" max="15368" width="14.54296875" style="645" bestFit="1" customWidth="1"/>
    <col min="15369" max="15369" width="12.453125" style="645" bestFit="1" customWidth="1"/>
    <col min="15370" max="15370" width="14.54296875" style="645" bestFit="1" customWidth="1"/>
    <col min="15371" max="15616" width="9.1796875" style="645"/>
    <col min="15617" max="15617" width="34.54296875" style="645" customWidth="1"/>
    <col min="15618" max="15618" width="24.7265625" style="645" customWidth="1"/>
    <col min="15619" max="15619" width="19.26953125" style="645" customWidth="1"/>
    <col min="15620" max="15621" width="14.1796875" style="645" customWidth="1"/>
    <col min="15622" max="15622" width="17.54296875" style="645" customWidth="1"/>
    <col min="15623" max="15623" width="17.81640625" style="645" customWidth="1"/>
    <col min="15624" max="15624" width="14.54296875" style="645" bestFit="1" customWidth="1"/>
    <col min="15625" max="15625" width="12.453125" style="645" bestFit="1" customWidth="1"/>
    <col min="15626" max="15626" width="14.54296875" style="645" bestFit="1" customWidth="1"/>
    <col min="15627" max="15872" width="9.1796875" style="645"/>
    <col min="15873" max="15873" width="34.54296875" style="645" customWidth="1"/>
    <col min="15874" max="15874" width="24.7265625" style="645" customWidth="1"/>
    <col min="15875" max="15875" width="19.26953125" style="645" customWidth="1"/>
    <col min="15876" max="15877" width="14.1796875" style="645" customWidth="1"/>
    <col min="15878" max="15878" width="17.54296875" style="645" customWidth="1"/>
    <col min="15879" max="15879" width="17.81640625" style="645" customWidth="1"/>
    <col min="15880" max="15880" width="14.54296875" style="645" bestFit="1" customWidth="1"/>
    <col min="15881" max="15881" width="12.453125" style="645" bestFit="1" customWidth="1"/>
    <col min="15882" max="15882" width="14.54296875" style="645" bestFit="1" customWidth="1"/>
    <col min="15883" max="16128" width="9.1796875" style="645"/>
    <col min="16129" max="16129" width="34.54296875" style="645" customWidth="1"/>
    <col min="16130" max="16130" width="24.7265625" style="645" customWidth="1"/>
    <col min="16131" max="16131" width="19.26953125" style="645" customWidth="1"/>
    <col min="16132" max="16133" width="14.1796875" style="645" customWidth="1"/>
    <col min="16134" max="16134" width="17.54296875" style="645" customWidth="1"/>
    <col min="16135" max="16135" width="17.81640625" style="645" customWidth="1"/>
    <col min="16136" max="16136" width="14.54296875" style="645" bestFit="1" customWidth="1"/>
    <col min="16137" max="16137" width="12.453125" style="645" bestFit="1" customWidth="1"/>
    <col min="16138" max="16138" width="14.54296875" style="645" bestFit="1" customWidth="1"/>
    <col min="16139" max="16384" width="9.1796875" style="645"/>
  </cols>
  <sheetData>
    <row r="1" spans="1:18" x14ac:dyDescent="0.3">
      <c r="E1" s="2731" t="s">
        <v>822</v>
      </c>
      <c r="F1" s="2731"/>
      <c r="G1" s="2731"/>
    </row>
    <row r="2" spans="1:18" x14ac:dyDescent="0.3">
      <c r="E2" s="2731" t="s">
        <v>450</v>
      </c>
      <c r="F2" s="2731"/>
      <c r="G2" s="2731"/>
    </row>
    <row r="3" spans="1:18" x14ac:dyDescent="0.3">
      <c r="E3" s="2731" t="s">
        <v>449</v>
      </c>
      <c r="F3" s="2731"/>
      <c r="G3" s="2731"/>
    </row>
    <row r="4" spans="1:18" x14ac:dyDescent="0.3">
      <c r="E4" s="2731" t="s">
        <v>448</v>
      </c>
      <c r="F4" s="2731"/>
      <c r="G4" s="2731"/>
    </row>
    <row r="5" spans="1:18" x14ac:dyDescent="0.3">
      <c r="E5" s="2731" t="s">
        <v>1135</v>
      </c>
      <c r="F5" s="2731"/>
      <c r="G5" s="2731"/>
    </row>
    <row r="7" spans="1:18" ht="15.5" x14ac:dyDescent="0.35">
      <c r="F7" s="2783" t="s">
        <v>616</v>
      </c>
      <c r="G7" s="2783"/>
      <c r="H7" s="2219"/>
      <c r="I7" s="2219"/>
      <c r="J7" s="2219"/>
      <c r="K7" s="2219"/>
      <c r="L7" s="2219"/>
      <c r="M7" s="2219"/>
      <c r="N7" s="2219"/>
      <c r="O7" s="2219"/>
      <c r="P7" s="2219"/>
      <c r="Q7" s="2219"/>
      <c r="R7" s="2219"/>
    </row>
    <row r="8" spans="1:18" ht="15.5" x14ac:dyDescent="0.35">
      <c r="E8" s="2203"/>
      <c r="F8" s="2203"/>
      <c r="G8" s="2147" t="s">
        <v>450</v>
      </c>
      <c r="H8" s="2219"/>
      <c r="I8" s="2219"/>
      <c r="J8" s="2219"/>
      <c r="K8" s="2219"/>
      <c r="L8" s="2219"/>
      <c r="M8" s="2219"/>
      <c r="N8" s="2219"/>
      <c r="O8" s="2219"/>
      <c r="P8" s="2219"/>
      <c r="Q8" s="2219"/>
      <c r="R8" s="2219"/>
    </row>
    <row r="9" spans="1:18" ht="15.5" x14ac:dyDescent="0.35">
      <c r="E9" s="2203"/>
      <c r="F9" s="2203"/>
      <c r="G9" s="2147" t="s">
        <v>449</v>
      </c>
      <c r="H9" s="2219"/>
      <c r="I9" s="2219"/>
      <c r="J9" s="2219"/>
      <c r="K9" s="2219"/>
      <c r="L9" s="2219"/>
      <c r="M9" s="2219"/>
      <c r="N9" s="2219"/>
      <c r="O9" s="2219"/>
      <c r="P9" s="2219"/>
      <c r="Q9" s="2219"/>
      <c r="R9" s="2219"/>
    </row>
    <row r="10" spans="1:18" ht="15.5" x14ac:dyDescent="0.35">
      <c r="E10" s="2203"/>
      <c r="F10" s="2203"/>
      <c r="G10" s="2147" t="s">
        <v>448</v>
      </c>
      <c r="H10" s="2219"/>
      <c r="I10" s="2219"/>
      <c r="J10" s="2219"/>
      <c r="K10" s="2219"/>
      <c r="L10" s="2219"/>
      <c r="M10" s="2219"/>
      <c r="N10" s="2219"/>
      <c r="O10" s="2219"/>
      <c r="P10" s="2219"/>
      <c r="Q10" s="2219"/>
      <c r="R10" s="2219"/>
    </row>
    <row r="11" spans="1:18" ht="15.5" x14ac:dyDescent="0.3">
      <c r="E11" s="2203"/>
      <c r="F11" s="2203"/>
      <c r="G11" s="2145" t="s">
        <v>1105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5" x14ac:dyDescent="0.3">
      <c r="E12" s="2203"/>
      <c r="F12" s="2203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5" x14ac:dyDescent="0.3">
      <c r="A13" s="2805" t="s">
        <v>868</v>
      </c>
      <c r="B13" s="2805"/>
      <c r="C13" s="2805"/>
      <c r="D13" s="2805"/>
      <c r="E13" s="2805"/>
      <c r="F13" s="2805"/>
      <c r="G13" s="2805"/>
      <c r="H13" s="2221"/>
      <c r="I13" s="2221"/>
      <c r="J13" s="2221"/>
      <c r="K13" s="1771"/>
      <c r="L13" s="1771"/>
      <c r="N13" s="258"/>
      <c r="O13" s="258"/>
      <c r="P13" s="258"/>
      <c r="Q13" s="258"/>
      <c r="R13" s="258"/>
    </row>
    <row r="14" spans="1:18" ht="15" x14ac:dyDescent="0.3">
      <c r="A14" s="2805" t="s">
        <v>869</v>
      </c>
      <c r="B14" s="2805"/>
      <c r="C14" s="2805"/>
      <c r="D14" s="2805"/>
      <c r="E14" s="2805"/>
      <c r="F14" s="2805"/>
      <c r="G14" s="2805"/>
      <c r="H14" s="2221"/>
      <c r="I14" s="2221"/>
      <c r="J14" s="2221"/>
    </row>
    <row r="15" spans="1:18" ht="15" x14ac:dyDescent="0.3">
      <c r="A15" s="2805" t="s">
        <v>1089</v>
      </c>
      <c r="B15" s="2805"/>
      <c r="C15" s="2805"/>
      <c r="D15" s="2805"/>
      <c r="E15" s="2805"/>
      <c r="F15" s="2805"/>
      <c r="G15" s="2805"/>
      <c r="H15" s="2221"/>
      <c r="I15" s="2221"/>
      <c r="J15" s="2221"/>
    </row>
    <row r="16" spans="1:18" s="2205" customFormat="1" ht="44.5" customHeight="1" x14ac:dyDescent="0.35">
      <c r="A16" s="2220"/>
      <c r="B16" s="2220"/>
      <c r="C16" s="2220"/>
      <c r="D16" s="2220"/>
      <c r="E16" s="2220"/>
      <c r="F16" s="2220"/>
    </row>
    <row r="17" spans="1:10" s="2205" customFormat="1" ht="16" thickBot="1" x14ac:dyDescent="0.4">
      <c r="A17" s="2752"/>
      <c r="B17" s="2752"/>
      <c r="C17" s="2752"/>
      <c r="D17" s="2752"/>
      <c r="E17" s="2752"/>
      <c r="F17" s="2752"/>
      <c r="G17" s="2239" t="s">
        <v>1092</v>
      </c>
    </row>
    <row r="18" spans="1:10" ht="29.25" customHeight="1" x14ac:dyDescent="0.3">
      <c r="A18" s="2831" t="s">
        <v>1073</v>
      </c>
      <c r="B18" s="2833" t="s">
        <v>1074</v>
      </c>
      <c r="C18" s="2833" t="s">
        <v>1075</v>
      </c>
      <c r="D18" s="2833" t="s">
        <v>1076</v>
      </c>
      <c r="E18" s="2833"/>
      <c r="F18" s="2833"/>
      <c r="G18" s="2802" t="s">
        <v>1077</v>
      </c>
    </row>
    <row r="19" spans="1:10" ht="29.25" customHeight="1" thickBot="1" x14ac:dyDescent="0.35">
      <c r="A19" s="2832"/>
      <c r="B19" s="2834"/>
      <c r="C19" s="2834"/>
      <c r="D19" s="2223" t="s">
        <v>844</v>
      </c>
      <c r="E19" s="2223" t="s">
        <v>899</v>
      </c>
      <c r="F19" s="2223" t="s">
        <v>997</v>
      </c>
      <c r="G19" s="2803"/>
    </row>
    <row r="20" spans="1:10" ht="33.75" customHeight="1" thickBot="1" x14ac:dyDescent="0.35">
      <c r="A20" s="2809" t="s">
        <v>884</v>
      </c>
      <c r="B20" s="2810"/>
      <c r="C20" s="2810"/>
      <c r="D20" s="2810"/>
      <c r="E20" s="2810"/>
      <c r="F20" s="2810"/>
      <c r="G20" s="2811"/>
    </row>
    <row r="21" spans="1:10" ht="27.75" customHeight="1" x14ac:dyDescent="0.3">
      <c r="A21" s="2804" t="s">
        <v>1129</v>
      </c>
      <c r="B21" s="2775" t="s">
        <v>1090</v>
      </c>
      <c r="C21" s="2224" t="s">
        <v>1080</v>
      </c>
      <c r="D21" s="2225">
        <f>304.426+362.241</f>
        <v>666.66699999999992</v>
      </c>
      <c r="E21" s="2225">
        <v>0</v>
      </c>
      <c r="F21" s="2230">
        <v>0</v>
      </c>
      <c r="G21" s="2806">
        <v>2021</v>
      </c>
    </row>
    <row r="22" spans="1:10" ht="27.75" customHeight="1" x14ac:dyDescent="0.3">
      <c r="A22" s="2795"/>
      <c r="B22" s="2798"/>
      <c r="C22" s="2206" t="s">
        <v>1081</v>
      </c>
      <c r="D22" s="2207">
        <v>0</v>
      </c>
      <c r="E22" s="2207">
        <v>0</v>
      </c>
      <c r="F22" s="2231">
        <v>0</v>
      </c>
      <c r="G22" s="2807"/>
    </row>
    <row r="23" spans="1:10" ht="43" customHeight="1" thickBot="1" x14ac:dyDescent="0.35">
      <c r="A23" s="2795"/>
      <c r="B23" s="2798"/>
      <c r="C23" s="2213" t="s">
        <v>1082</v>
      </c>
      <c r="D23" s="2214">
        <f>SUM(D21:D22)</f>
        <v>666.66699999999992</v>
      </c>
      <c r="E23" s="2214">
        <f>SUM(E21:E22)</f>
        <v>0</v>
      </c>
      <c r="F23" s="2232">
        <f>SUM(F21:F22)</f>
        <v>0</v>
      </c>
      <c r="G23" s="2808"/>
    </row>
    <row r="24" spans="1:10" ht="34" hidden="1" customHeight="1" x14ac:dyDescent="0.3">
      <c r="A24" s="2828" t="s">
        <v>1072</v>
      </c>
      <c r="B24" s="2829"/>
      <c r="C24" s="2829"/>
      <c r="D24" s="2829"/>
      <c r="E24" s="2829"/>
      <c r="F24" s="2829"/>
      <c r="G24" s="2830" t="s">
        <v>1078</v>
      </c>
    </row>
    <row r="25" spans="1:10" ht="35.5" hidden="1" customHeight="1" x14ac:dyDescent="0.3">
      <c r="A25" s="2795" t="s">
        <v>1083</v>
      </c>
      <c r="B25" s="2798" t="s">
        <v>1079</v>
      </c>
      <c r="C25" s="2206" t="s">
        <v>1080</v>
      </c>
      <c r="D25" s="2207">
        <v>0</v>
      </c>
      <c r="E25" s="2207">
        <v>0</v>
      </c>
      <c r="F25" s="2207">
        <v>0</v>
      </c>
      <c r="G25" s="2830"/>
      <c r="H25" s="2208"/>
      <c r="I25" s="2208"/>
      <c r="J25" s="2208"/>
    </row>
    <row r="26" spans="1:10" ht="35.5" hidden="1" customHeight="1" x14ac:dyDescent="0.3">
      <c r="A26" s="2795"/>
      <c r="B26" s="2798"/>
      <c r="C26" s="2206" t="s">
        <v>1081</v>
      </c>
      <c r="D26" s="2207">
        <v>0</v>
      </c>
      <c r="E26" s="2207">
        <v>0</v>
      </c>
      <c r="F26" s="2207">
        <v>0</v>
      </c>
      <c r="G26" s="2830"/>
      <c r="H26" s="2208"/>
      <c r="I26" s="2208"/>
      <c r="J26" s="2208"/>
    </row>
    <row r="27" spans="1:10" ht="35.5" hidden="1" customHeight="1" x14ac:dyDescent="0.3">
      <c r="A27" s="2795"/>
      <c r="B27" s="2798"/>
      <c r="C27" s="2206" t="s">
        <v>1082</v>
      </c>
      <c r="D27" s="2207">
        <f>SUM(D25:D26)</f>
        <v>0</v>
      </c>
      <c r="E27" s="2207">
        <f>SUM(E25:E26)</f>
        <v>0</v>
      </c>
      <c r="F27" s="2207">
        <f>SUM(F25:F26)</f>
        <v>0</v>
      </c>
      <c r="G27" s="2830"/>
      <c r="H27" s="2208"/>
      <c r="I27" s="2208"/>
      <c r="J27" s="2208"/>
    </row>
    <row r="28" spans="1:10" ht="28.5" hidden="1" customHeight="1" x14ac:dyDescent="0.3">
      <c r="A28" s="2795" t="s">
        <v>1084</v>
      </c>
      <c r="B28" s="2798" t="s">
        <v>1079</v>
      </c>
      <c r="C28" s="2206" t="s">
        <v>1080</v>
      </c>
      <c r="D28" s="2207">
        <v>0</v>
      </c>
      <c r="E28" s="2207">
        <v>0</v>
      </c>
      <c r="F28" s="2207">
        <v>0</v>
      </c>
      <c r="G28" s="2830"/>
      <c r="H28" s="2208"/>
      <c r="I28" s="2208"/>
      <c r="J28" s="2208"/>
    </row>
    <row r="29" spans="1:10" ht="28.5" hidden="1" customHeight="1" x14ac:dyDescent="0.3">
      <c r="A29" s="2795"/>
      <c r="B29" s="2798"/>
      <c r="C29" s="2206" t="s">
        <v>1081</v>
      </c>
      <c r="D29" s="2207">
        <v>0</v>
      </c>
      <c r="E29" s="2207">
        <v>0</v>
      </c>
      <c r="F29" s="2207">
        <v>0</v>
      </c>
      <c r="G29" s="2830"/>
      <c r="H29" s="2208"/>
      <c r="I29" s="2208"/>
      <c r="J29" s="2208"/>
    </row>
    <row r="30" spans="1:10" ht="28.5" hidden="1" customHeight="1" x14ac:dyDescent="0.3">
      <c r="A30" s="2795"/>
      <c r="B30" s="2798"/>
      <c r="C30" s="2206" t="s">
        <v>1082</v>
      </c>
      <c r="D30" s="2207">
        <f>SUM(D28:D29)</f>
        <v>0</v>
      </c>
      <c r="E30" s="2207">
        <f>SUM(E28:E29)</f>
        <v>0</v>
      </c>
      <c r="F30" s="2207">
        <f>SUM(F28:F29)</f>
        <v>0</v>
      </c>
      <c r="G30" s="2830"/>
      <c r="H30" s="2208"/>
      <c r="I30" s="2208"/>
      <c r="J30" s="2208"/>
    </row>
    <row r="31" spans="1:10" ht="28.5" hidden="1" customHeight="1" x14ac:dyDescent="0.3">
      <c r="A31" s="2795" t="s">
        <v>1085</v>
      </c>
      <c r="B31" s="2798" t="s">
        <v>1079</v>
      </c>
      <c r="C31" s="2206" t="s">
        <v>1080</v>
      </c>
      <c r="D31" s="2207">
        <v>0</v>
      </c>
      <c r="E31" s="2207">
        <v>0</v>
      </c>
      <c r="F31" s="2207">
        <v>0</v>
      </c>
      <c r="G31" s="2830"/>
      <c r="H31" s="2208"/>
      <c r="I31" s="2208"/>
      <c r="J31" s="2208"/>
    </row>
    <row r="32" spans="1:10" ht="28.5" hidden="1" customHeight="1" x14ac:dyDescent="0.3">
      <c r="A32" s="2795"/>
      <c r="B32" s="2798"/>
      <c r="C32" s="2206" t="s">
        <v>1081</v>
      </c>
      <c r="D32" s="2207">
        <v>0</v>
      </c>
      <c r="E32" s="2207">
        <v>0</v>
      </c>
      <c r="F32" s="2207">
        <v>0</v>
      </c>
      <c r="G32" s="2830"/>
      <c r="H32" s="2208"/>
      <c r="I32" s="2208"/>
      <c r="J32" s="2208"/>
    </row>
    <row r="33" spans="1:10" ht="28.5" hidden="1" customHeight="1" x14ac:dyDescent="0.3">
      <c r="A33" s="2795"/>
      <c r="B33" s="2798"/>
      <c r="C33" s="2206" t="s">
        <v>1082</v>
      </c>
      <c r="D33" s="2207">
        <f>SUM(D31:D32)</f>
        <v>0</v>
      </c>
      <c r="E33" s="2207">
        <f>SUM(E31:E32)</f>
        <v>0</v>
      </c>
      <c r="F33" s="2207">
        <f>SUM(F31:F32)</f>
        <v>0</v>
      </c>
      <c r="G33" s="2830"/>
      <c r="H33" s="2208"/>
      <c r="I33" s="2208"/>
      <c r="J33" s="2208"/>
    </row>
    <row r="34" spans="1:10" s="2212" customFormat="1" ht="28.5" hidden="1" customHeight="1" x14ac:dyDescent="0.3">
      <c r="A34" s="2800" t="s">
        <v>1072</v>
      </c>
      <c r="B34" s="2801" t="s">
        <v>828</v>
      </c>
      <c r="C34" s="2209" t="s">
        <v>1080</v>
      </c>
      <c r="D34" s="2210">
        <f t="shared" ref="D34:F36" si="0">D25+D28+D31</f>
        <v>0</v>
      </c>
      <c r="E34" s="2210">
        <f t="shared" si="0"/>
        <v>0</v>
      </c>
      <c r="F34" s="2210">
        <f t="shared" si="0"/>
        <v>0</v>
      </c>
      <c r="G34" s="2830"/>
      <c r="H34" s="2211"/>
      <c r="I34" s="2211"/>
      <c r="J34" s="2211"/>
    </row>
    <row r="35" spans="1:10" s="2212" customFormat="1" ht="28.5" hidden="1" customHeight="1" x14ac:dyDescent="0.3">
      <c r="A35" s="2800"/>
      <c r="B35" s="2801"/>
      <c r="C35" s="2209" t="s">
        <v>1081</v>
      </c>
      <c r="D35" s="2210">
        <f t="shared" si="0"/>
        <v>0</v>
      </c>
      <c r="E35" s="2210">
        <f t="shared" si="0"/>
        <v>0</v>
      </c>
      <c r="F35" s="2210">
        <f t="shared" si="0"/>
        <v>0</v>
      </c>
      <c r="G35" s="2830"/>
      <c r="H35" s="2211"/>
      <c r="I35" s="2211"/>
      <c r="J35" s="2211"/>
    </row>
    <row r="36" spans="1:10" s="2212" customFormat="1" ht="26" hidden="1" x14ac:dyDescent="0.3">
      <c r="A36" s="2800"/>
      <c r="B36" s="2801"/>
      <c r="C36" s="2209" t="s">
        <v>1086</v>
      </c>
      <c r="D36" s="2210">
        <f t="shared" si="0"/>
        <v>0</v>
      </c>
      <c r="E36" s="2210">
        <f t="shared" si="0"/>
        <v>0</v>
      </c>
      <c r="F36" s="2210">
        <f t="shared" si="0"/>
        <v>0</v>
      </c>
      <c r="G36" s="2830"/>
      <c r="H36" s="2211"/>
      <c r="I36" s="2211"/>
      <c r="J36" s="2211"/>
    </row>
    <row r="37" spans="1:10" s="2212" customFormat="1" ht="32.5" customHeight="1" x14ac:dyDescent="0.3">
      <c r="A37" s="2837" t="s">
        <v>1130</v>
      </c>
      <c r="B37" s="2774" t="s">
        <v>1090</v>
      </c>
      <c r="C37" s="2206" t="s">
        <v>1080</v>
      </c>
      <c r="D37" s="2207">
        <f>1200</f>
        <v>1200</v>
      </c>
      <c r="E37" s="2207">
        <f>157+5</f>
        <v>162</v>
      </c>
      <c r="F37" s="2231">
        <v>1600</v>
      </c>
      <c r="G37" s="2806">
        <v>2022</v>
      </c>
      <c r="H37" s="2211"/>
      <c r="I37" s="2211"/>
      <c r="J37" s="2211"/>
    </row>
    <row r="38" spans="1:10" s="2212" customFormat="1" ht="30.65" customHeight="1" x14ac:dyDescent="0.3">
      <c r="A38" s="2838"/>
      <c r="B38" s="2835"/>
      <c r="C38" s="2206" t="s">
        <v>1081</v>
      </c>
      <c r="D38" s="2207">
        <v>0</v>
      </c>
      <c r="E38" s="2207">
        <f>1443+95</f>
        <v>1538</v>
      </c>
      <c r="F38" s="2231">
        <v>0</v>
      </c>
      <c r="G38" s="2807"/>
      <c r="H38" s="2211"/>
      <c r="I38" s="2211"/>
      <c r="J38" s="2211"/>
    </row>
    <row r="39" spans="1:10" s="2212" customFormat="1" ht="32.5" customHeight="1" thickBot="1" x14ac:dyDescent="0.35">
      <c r="A39" s="2839"/>
      <c r="B39" s="2836"/>
      <c r="C39" s="2226" t="s">
        <v>1082</v>
      </c>
      <c r="D39" s="2227">
        <f>D37+D38</f>
        <v>1200</v>
      </c>
      <c r="E39" s="2227">
        <f>SUM(E37:E38)</f>
        <v>1700</v>
      </c>
      <c r="F39" s="2233">
        <f>F37+F38</f>
        <v>1600</v>
      </c>
      <c r="G39" s="2808"/>
      <c r="H39" s="2211"/>
      <c r="I39" s="2211"/>
      <c r="J39" s="2211"/>
    </row>
    <row r="40" spans="1:10" s="2212" customFormat="1" ht="13" customHeight="1" x14ac:dyDescent="0.3">
      <c r="A40" s="2821" t="s">
        <v>906</v>
      </c>
      <c r="B40" s="2822"/>
      <c r="C40" s="2822"/>
      <c r="D40" s="2822"/>
      <c r="E40" s="2822"/>
      <c r="F40" s="2822"/>
      <c r="G40" s="2823"/>
      <c r="H40" s="2211"/>
      <c r="I40" s="2211"/>
      <c r="J40" s="2211"/>
    </row>
    <row r="41" spans="1:10" s="2212" customFormat="1" ht="13" customHeight="1" thickBot="1" x14ac:dyDescent="0.35">
      <c r="A41" s="2824"/>
      <c r="B41" s="2825"/>
      <c r="C41" s="2825"/>
      <c r="D41" s="2825"/>
      <c r="E41" s="2825"/>
      <c r="F41" s="2825"/>
      <c r="G41" s="2826"/>
      <c r="H41" s="2211"/>
      <c r="I41" s="2211"/>
      <c r="J41" s="2211"/>
    </row>
    <row r="42" spans="1:10" s="2212" customFormat="1" ht="13.75" hidden="1" customHeight="1" x14ac:dyDescent="0.3">
      <c r="A42" s="2236"/>
      <c r="B42" s="2237"/>
      <c r="C42" s="2237"/>
      <c r="D42" s="2237"/>
      <c r="E42" s="2237"/>
      <c r="F42" s="2238"/>
      <c r="G42" s="2235"/>
      <c r="H42" s="2211"/>
      <c r="I42" s="2211"/>
      <c r="J42" s="2211"/>
    </row>
    <row r="43" spans="1:10" s="2212" customFormat="1" ht="25.15" customHeight="1" thickTop="1" x14ac:dyDescent="0.3">
      <c r="A43" s="2794" t="s">
        <v>1091</v>
      </c>
      <c r="B43" s="2797" t="s">
        <v>1090</v>
      </c>
      <c r="C43" s="2228" t="s">
        <v>1080</v>
      </c>
      <c r="D43" s="2229">
        <v>1000</v>
      </c>
      <c r="E43" s="2229">
        <v>1000</v>
      </c>
      <c r="F43" s="2234">
        <v>1000</v>
      </c>
      <c r="G43" s="2827" t="s">
        <v>1098</v>
      </c>
      <c r="H43" s="2211"/>
      <c r="I43" s="2211"/>
      <c r="J43" s="2211"/>
    </row>
    <row r="44" spans="1:10" s="2212" customFormat="1" ht="19" customHeight="1" x14ac:dyDescent="0.3">
      <c r="A44" s="2795"/>
      <c r="B44" s="2798"/>
      <c r="C44" s="2206" t="s">
        <v>1081</v>
      </c>
      <c r="D44" s="2207">
        <v>0</v>
      </c>
      <c r="E44" s="2207">
        <v>0</v>
      </c>
      <c r="F44" s="2231">
        <v>0</v>
      </c>
      <c r="G44" s="2807"/>
      <c r="H44" s="2211"/>
      <c r="I44" s="2211"/>
      <c r="J44" s="2211"/>
    </row>
    <row r="45" spans="1:10" s="2212" customFormat="1" ht="21.75" customHeight="1" thickBot="1" x14ac:dyDescent="0.35">
      <c r="A45" s="2796"/>
      <c r="B45" s="2799"/>
      <c r="C45" s="2226" t="s">
        <v>1082</v>
      </c>
      <c r="D45" s="2227">
        <f>SUM(D43:D44)</f>
        <v>1000</v>
      </c>
      <c r="E45" s="2227">
        <f>SUM(E43:E44)</f>
        <v>1000</v>
      </c>
      <c r="F45" s="2233">
        <f>SUM(F43:F44)</f>
        <v>1000</v>
      </c>
      <c r="G45" s="2808"/>
      <c r="H45" s="2211"/>
      <c r="I45" s="2211"/>
      <c r="J45" s="2211"/>
    </row>
    <row r="46" spans="1:10" s="2216" customFormat="1" ht="28.5" customHeight="1" x14ac:dyDescent="0.3">
      <c r="A46" s="2812" t="s">
        <v>1093</v>
      </c>
      <c r="B46" s="2815" t="s">
        <v>828</v>
      </c>
      <c r="C46" s="2224" t="s">
        <v>1080</v>
      </c>
      <c r="D46" s="2222">
        <f>D21+D37+D43</f>
        <v>2866.6669999999999</v>
      </c>
      <c r="E46" s="2222">
        <f t="shared" ref="E46:F46" si="1">E21+E37+E43</f>
        <v>1162</v>
      </c>
      <c r="F46" s="2222">
        <f t="shared" si="1"/>
        <v>2600</v>
      </c>
      <c r="G46" s="2818" t="s">
        <v>1087</v>
      </c>
      <c r="H46" s="2215"/>
      <c r="I46" s="2215"/>
      <c r="J46" s="2215"/>
    </row>
    <row r="47" spans="1:10" s="2216" customFormat="1" ht="28.5" customHeight="1" x14ac:dyDescent="0.3">
      <c r="A47" s="2813"/>
      <c r="B47" s="2816"/>
      <c r="C47" s="2206" t="s">
        <v>1081</v>
      </c>
      <c r="D47" s="2214">
        <f>D44+D38+D22</f>
        <v>0</v>
      </c>
      <c r="E47" s="2214">
        <f t="shared" ref="E47:F47" si="2">E44+E38+E22</f>
        <v>1538</v>
      </c>
      <c r="F47" s="2214">
        <f t="shared" si="2"/>
        <v>0</v>
      </c>
      <c r="G47" s="2819"/>
      <c r="H47" s="2215"/>
      <c r="I47" s="2215"/>
      <c r="J47" s="2215"/>
    </row>
    <row r="48" spans="1:10" s="2216" customFormat="1" ht="26.5" thickBot="1" x14ac:dyDescent="0.35">
      <c r="A48" s="2814"/>
      <c r="B48" s="2817"/>
      <c r="C48" s="2226" t="s">
        <v>1088</v>
      </c>
      <c r="D48" s="2227">
        <f>D46+D47</f>
        <v>2866.6669999999999</v>
      </c>
      <c r="E48" s="2227">
        <f>E46+E47</f>
        <v>2700</v>
      </c>
      <c r="F48" s="2227">
        <f>F46+F47</f>
        <v>2600</v>
      </c>
      <c r="G48" s="2820"/>
      <c r="H48" s="2215"/>
      <c r="I48" s="2215"/>
      <c r="J48" s="2215"/>
    </row>
    <row r="49" spans="3:6" x14ac:dyDescent="0.3">
      <c r="D49" s="2217"/>
      <c r="E49" s="2217"/>
      <c r="F49" s="2217"/>
    </row>
    <row r="50" spans="3:6" s="2205" customFormat="1" ht="15.5" x14ac:dyDescent="0.35">
      <c r="C50" s="2218"/>
    </row>
  </sheetData>
  <mergeCells count="39">
    <mergeCell ref="E1:G1"/>
    <mergeCell ref="E2:G2"/>
    <mergeCell ref="E3:G3"/>
    <mergeCell ref="E4:G4"/>
    <mergeCell ref="E5:G5"/>
    <mergeCell ref="A17:F17"/>
    <mergeCell ref="A18:A19"/>
    <mergeCell ref="B18:B19"/>
    <mergeCell ref="B37:B39"/>
    <mergeCell ref="A37:A39"/>
    <mergeCell ref="C18:C19"/>
    <mergeCell ref="D18:F18"/>
    <mergeCell ref="G21:G23"/>
    <mergeCell ref="A24:F24"/>
    <mergeCell ref="G24:G36"/>
    <mergeCell ref="A25:A27"/>
    <mergeCell ref="B25:B27"/>
    <mergeCell ref="A28:A30"/>
    <mergeCell ref="A46:A48"/>
    <mergeCell ref="B46:B48"/>
    <mergeCell ref="G46:G48"/>
    <mergeCell ref="A40:G41"/>
    <mergeCell ref="G43:G45"/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5" x14ac:dyDescent="0.3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5" x14ac:dyDescent="0.3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5" x14ac:dyDescent="0.3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5" x14ac:dyDescent="0.25">
      <c r="E5" s="388"/>
      <c r="F5" s="388"/>
      <c r="G5" s="388"/>
      <c r="H5" s="2603" t="s">
        <v>991</v>
      </c>
      <c r="I5" s="2603"/>
      <c r="J5" s="2603"/>
      <c r="K5" s="2603"/>
      <c r="L5" s="2603"/>
      <c r="M5" s="2603"/>
      <c r="N5" s="2603"/>
      <c r="O5" s="2603"/>
      <c r="P5" s="2603"/>
      <c r="Q5" s="2603"/>
      <c r="R5" s="2603"/>
      <c r="S5" s="2603"/>
      <c r="T5" s="2603"/>
      <c r="U5" s="2603"/>
      <c r="V5" s="258"/>
    </row>
    <row r="6" spans="1:22" ht="15.5" x14ac:dyDescent="0.3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5" hidden="1" x14ac:dyDescent="0.3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5" hidden="1" x14ac:dyDescent="0.3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2727"/>
      <c r="C12" s="2727"/>
      <c r="D12" s="2727"/>
      <c r="E12" s="2727"/>
      <c r="F12" s="2727"/>
      <c r="G12" s="2727"/>
      <c r="H12" s="2727"/>
      <c r="I12" s="395" t="e">
        <f>I10-I11-#REF!</f>
        <v>#REF!</v>
      </c>
      <c r="N12" s="1"/>
      <c r="U12" s="1"/>
    </row>
    <row r="13" spans="1:22" ht="15.65" customHeight="1" x14ac:dyDescent="0.25">
      <c r="A13" s="2728" t="s">
        <v>614</v>
      </c>
      <c r="B13" s="2728"/>
      <c r="C13" s="2728"/>
      <c r="D13" s="2728"/>
      <c r="E13" s="2728"/>
      <c r="F13" s="2728"/>
      <c r="G13" s="2728"/>
      <c r="H13" s="2728"/>
      <c r="I13" s="2728"/>
      <c r="J13" s="2728"/>
      <c r="K13" s="2728"/>
      <c r="L13" s="2728"/>
      <c r="M13" s="2728"/>
      <c r="N13" s="2728"/>
      <c r="O13" s="2728"/>
      <c r="P13" s="2728"/>
      <c r="Q13" s="2728"/>
      <c r="R13" s="2728"/>
      <c r="S13" s="2728"/>
      <c r="T13" s="2728"/>
      <c r="U13" s="2728"/>
    </row>
    <row r="14" spans="1:22" ht="15.65" customHeight="1" x14ac:dyDescent="0.25">
      <c r="A14" s="2728" t="s">
        <v>613</v>
      </c>
      <c r="B14" s="2728"/>
      <c r="C14" s="2728"/>
      <c r="D14" s="2728"/>
      <c r="E14" s="2728"/>
      <c r="F14" s="2728"/>
      <c r="G14" s="2728"/>
      <c r="H14" s="2728"/>
      <c r="I14" s="2728"/>
      <c r="J14" s="2728"/>
      <c r="K14" s="2728"/>
      <c r="L14" s="2728"/>
      <c r="M14" s="2728"/>
      <c r="N14" s="2728"/>
      <c r="O14" s="2728"/>
      <c r="P14" s="2728"/>
      <c r="Q14" s="2728"/>
      <c r="R14" s="2728"/>
      <c r="S14" s="2728"/>
      <c r="T14" s="2728"/>
      <c r="U14" s="2728"/>
    </row>
    <row r="15" spans="1:22" ht="15" customHeight="1" x14ac:dyDescent="0.25">
      <c r="A15" s="2728" t="s">
        <v>995</v>
      </c>
      <c r="B15" s="2728"/>
      <c r="C15" s="2728"/>
      <c r="D15" s="2728"/>
      <c r="E15" s="2728"/>
      <c r="F15" s="2728"/>
      <c r="G15" s="2728"/>
      <c r="H15" s="2728"/>
      <c r="I15" s="2728"/>
      <c r="J15" s="2728"/>
      <c r="K15" s="2728"/>
      <c r="L15" s="2728"/>
      <c r="M15" s="2728"/>
      <c r="N15" s="2728"/>
      <c r="O15" s="2728"/>
      <c r="P15" s="2728"/>
      <c r="Q15" s="2728"/>
      <c r="R15" s="2728"/>
      <c r="S15" s="2728"/>
      <c r="T15" s="2728"/>
      <c r="U15" s="2728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1.5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133"/>
  <sheetViews>
    <sheetView topLeftCell="A12" zoomScale="68" zoomScaleNormal="68" workbookViewId="0">
      <selection activeCell="K16" sqref="K16:X16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7.26953125" style="443" customWidth="1"/>
    <col min="13" max="16" width="17.453125" style="2272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.26953125" style="547" hidden="1" customWidth="1"/>
    <col min="22" max="22" width="14.81640625" style="547" customWidth="1"/>
    <col min="23" max="23" width="16.54296875" style="547" customWidth="1"/>
    <col min="24" max="26" width="0" style="547" hidden="1" customWidth="1"/>
    <col min="27" max="27" width="1.453125" style="547" hidden="1" customWidth="1"/>
    <col min="28" max="28" width="13.26953125" style="547" hidden="1" customWidth="1"/>
    <col min="29" max="30" width="0" style="547" hidden="1" customWidth="1"/>
    <col min="31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4" hidden="1" x14ac:dyDescent="0.35">
      <c r="L1" s="869" t="s">
        <v>625</v>
      </c>
      <c r="M1" s="2269"/>
    </row>
    <row r="2" spans="8:24" hidden="1" x14ac:dyDescent="0.35">
      <c r="J2" s="541"/>
      <c r="L2" s="869" t="s">
        <v>450</v>
      </c>
      <c r="M2" s="2269"/>
      <c r="N2" s="2269"/>
    </row>
    <row r="3" spans="8:24" hidden="1" x14ac:dyDescent="0.35">
      <c r="H3" s="541"/>
      <c r="I3" s="541"/>
      <c r="J3" s="541"/>
      <c r="L3" s="869" t="s">
        <v>626</v>
      </c>
      <c r="M3" s="2269"/>
      <c r="N3" s="2269"/>
      <c r="O3" s="2269"/>
      <c r="P3" s="2269"/>
    </row>
    <row r="4" spans="8:24" hidden="1" x14ac:dyDescent="0.35">
      <c r="I4" s="541"/>
      <c r="J4" s="541"/>
      <c r="L4" s="869" t="s">
        <v>448</v>
      </c>
      <c r="M4" s="2269"/>
      <c r="N4" s="2269"/>
      <c r="O4" s="2269"/>
    </row>
    <row r="5" spans="8:24" hidden="1" x14ac:dyDescent="0.35">
      <c r="I5" s="541"/>
      <c r="J5" s="541"/>
      <c r="L5" s="869" t="s">
        <v>448</v>
      </c>
      <c r="M5" s="2269"/>
      <c r="N5" s="2269"/>
      <c r="O5" s="2269"/>
    </row>
    <row r="6" spans="8:24" hidden="1" x14ac:dyDescent="0.35">
      <c r="J6" s="541"/>
      <c r="L6" s="2273" t="s">
        <v>627</v>
      </c>
      <c r="M6" s="2270"/>
      <c r="N6" s="2270"/>
    </row>
    <row r="7" spans="8:24" hidden="1" x14ac:dyDescent="0.35"/>
    <row r="8" spans="8:24" hidden="1" x14ac:dyDescent="0.35">
      <c r="L8" s="869" t="s">
        <v>446</v>
      </c>
    </row>
    <row r="9" spans="8:24" hidden="1" x14ac:dyDescent="0.35"/>
    <row r="10" spans="8:24" hidden="1" x14ac:dyDescent="0.35">
      <c r="L10" s="869" t="s">
        <v>628</v>
      </c>
    </row>
    <row r="11" spans="8:24" hidden="1" x14ac:dyDescent="0.35">
      <c r="L11" s="869"/>
    </row>
    <row r="12" spans="8:24" ht="15.65" customHeight="1" x14ac:dyDescent="0.25">
      <c r="K12" s="2706" t="s">
        <v>625</v>
      </c>
      <c r="L12" s="2706"/>
      <c r="M12" s="2706"/>
      <c r="N12" s="2706"/>
      <c r="O12" s="2706"/>
      <c r="P12" s="2706"/>
      <c r="Q12" s="2706"/>
      <c r="R12" s="2706"/>
      <c r="S12" s="2706"/>
      <c r="T12" s="2706"/>
      <c r="U12" s="2706"/>
      <c r="V12" s="2706"/>
      <c r="W12" s="2706"/>
      <c r="X12" s="2706"/>
    </row>
    <row r="13" spans="8:24" ht="15.65" customHeight="1" x14ac:dyDescent="0.25">
      <c r="K13" s="2706" t="s">
        <v>450</v>
      </c>
      <c r="L13" s="2706"/>
      <c r="M13" s="2706"/>
      <c r="N13" s="2706"/>
      <c r="O13" s="2706"/>
      <c r="P13" s="2706"/>
      <c r="Q13" s="2706"/>
      <c r="R13" s="2706"/>
      <c r="S13" s="2706"/>
      <c r="T13" s="2706"/>
      <c r="U13" s="2706"/>
      <c r="V13" s="2706"/>
      <c r="W13" s="2706"/>
      <c r="X13" s="2706"/>
    </row>
    <row r="14" spans="8:24" ht="15.65" customHeight="1" x14ac:dyDescent="0.25">
      <c r="K14" s="2706" t="s">
        <v>449</v>
      </c>
      <c r="L14" s="2706"/>
      <c r="M14" s="2706"/>
      <c r="N14" s="2706"/>
      <c r="O14" s="2706"/>
      <c r="P14" s="2706"/>
      <c r="Q14" s="2706"/>
      <c r="R14" s="2706"/>
      <c r="S14" s="2706"/>
      <c r="T14" s="2706"/>
      <c r="U14" s="2706"/>
      <c r="V14" s="2706"/>
      <c r="W14" s="2706"/>
      <c r="X14" s="2706"/>
    </row>
    <row r="15" spans="8:24" ht="15.65" customHeight="1" x14ac:dyDescent="0.25">
      <c r="K15" s="2706" t="s">
        <v>448</v>
      </c>
      <c r="L15" s="2706"/>
      <c r="M15" s="2706"/>
      <c r="N15" s="2706"/>
      <c r="O15" s="2706"/>
      <c r="P15" s="2706"/>
      <c r="Q15" s="2706"/>
      <c r="R15" s="2706"/>
      <c r="S15" s="2706"/>
      <c r="T15" s="2706"/>
      <c r="U15" s="2706"/>
      <c r="V15" s="2706"/>
      <c r="W15" s="2706"/>
      <c r="X15" s="2706"/>
    </row>
    <row r="16" spans="8:24" ht="15.65" customHeight="1" x14ac:dyDescent="0.25">
      <c r="K16" s="2707" t="s">
        <v>1135</v>
      </c>
      <c r="L16" s="2707"/>
      <c r="M16" s="2707"/>
      <c r="N16" s="2707"/>
      <c r="O16" s="2707"/>
      <c r="P16" s="2707"/>
      <c r="Q16" s="2707"/>
      <c r="R16" s="2707"/>
      <c r="S16" s="2707"/>
      <c r="T16" s="2707"/>
      <c r="U16" s="2707"/>
      <c r="V16" s="2707"/>
      <c r="W16" s="2707"/>
      <c r="X16" s="2707"/>
    </row>
    <row r="17" spans="1:24" x14ac:dyDescent="0.35">
      <c r="L17" s="869"/>
    </row>
    <row r="18" spans="1:24" x14ac:dyDescent="0.35">
      <c r="M18" s="261"/>
      <c r="N18" s="261"/>
      <c r="O18" s="261"/>
      <c r="P18" s="261"/>
      <c r="Q18" s="261"/>
      <c r="R18" s="261"/>
      <c r="U18" s="2601" t="s">
        <v>625</v>
      </c>
      <c r="V18" s="2601"/>
      <c r="W18" s="2601"/>
    </row>
    <row r="19" spans="1:24" x14ac:dyDescent="0.35">
      <c r="Q19" s="877"/>
      <c r="U19" s="2601" t="s">
        <v>450</v>
      </c>
      <c r="V19" s="2601"/>
      <c r="W19" s="2601"/>
    </row>
    <row r="20" spans="1:24" x14ac:dyDescent="0.35">
      <c r="K20" s="2601" t="s">
        <v>449</v>
      </c>
      <c r="L20" s="2601"/>
      <c r="M20" s="2601"/>
      <c r="N20" s="2601"/>
      <c r="O20" s="2601"/>
      <c r="P20" s="2601"/>
      <c r="Q20" s="2601"/>
      <c r="R20" s="2601"/>
      <c r="S20" s="2601"/>
      <c r="T20" s="2601"/>
      <c r="U20" s="2601"/>
      <c r="V20" s="2601"/>
      <c r="W20" s="2601"/>
    </row>
    <row r="21" spans="1:24" x14ac:dyDescent="0.35">
      <c r="K21" s="2601" t="s">
        <v>448</v>
      </c>
      <c r="L21" s="2601"/>
      <c r="M21" s="2601"/>
      <c r="N21" s="2601"/>
      <c r="O21" s="2601"/>
      <c r="P21" s="2601"/>
      <c r="Q21" s="2601"/>
      <c r="R21" s="2601"/>
      <c r="S21" s="2601"/>
      <c r="T21" s="2601"/>
      <c r="U21" s="2601"/>
      <c r="V21" s="2601"/>
      <c r="W21" s="2601"/>
    </row>
    <row r="22" spans="1:24" x14ac:dyDescent="0.25">
      <c r="K22" s="2705" t="s">
        <v>1110</v>
      </c>
      <c r="L22" s="2705"/>
      <c r="M22" s="2705"/>
      <c r="N22" s="2705"/>
      <c r="O22" s="2705"/>
      <c r="P22" s="2705"/>
      <c r="Q22" s="2705"/>
      <c r="R22" s="2705"/>
      <c r="S22" s="2705"/>
      <c r="T22" s="2705"/>
      <c r="U22" s="2705"/>
      <c r="V22" s="2705"/>
      <c r="W22" s="2705"/>
      <c r="X22" s="2705"/>
    </row>
    <row r="23" spans="1:24" x14ac:dyDescent="0.35">
      <c r="Q23" s="541"/>
      <c r="R23" s="2269"/>
      <c r="S23" s="2269"/>
      <c r="T23" s="2269"/>
      <c r="U23" s="2269"/>
    </row>
    <row r="24" spans="1:24" hidden="1" x14ac:dyDescent="0.35">
      <c r="L24" s="2269" t="s">
        <v>446</v>
      </c>
      <c r="Q24" s="541"/>
      <c r="R24" s="2269"/>
      <c r="S24" s="2269"/>
      <c r="T24" s="2269"/>
    </row>
    <row r="25" spans="1:24" hidden="1" x14ac:dyDescent="0.35">
      <c r="L25" s="541"/>
      <c r="Q25" s="541"/>
      <c r="R25" s="2269"/>
      <c r="S25" s="2269"/>
      <c r="T25" s="2269"/>
      <c r="U25" s="2269"/>
    </row>
    <row r="26" spans="1:24" hidden="1" x14ac:dyDescent="0.35">
      <c r="L26" s="2269" t="s">
        <v>842</v>
      </c>
      <c r="Q26" s="541"/>
      <c r="R26" s="2269"/>
      <c r="S26" s="2269"/>
      <c r="T26" s="2269"/>
    </row>
    <row r="27" spans="1:24" x14ac:dyDescent="0.35">
      <c r="J27" s="2269"/>
      <c r="K27" s="869"/>
      <c r="L27" s="2269"/>
    </row>
    <row r="28" spans="1:24" x14ac:dyDescent="0.35">
      <c r="J28" s="2269"/>
      <c r="K28" s="869"/>
      <c r="L28" s="869"/>
    </row>
    <row r="29" spans="1:24" hidden="1" x14ac:dyDescent="0.35"/>
    <row r="30" spans="1:24" ht="19.5" customHeight="1" x14ac:dyDescent="0.35">
      <c r="A30" s="2352" t="s">
        <v>629</v>
      </c>
      <c r="B30" s="2352"/>
      <c r="C30" s="2352"/>
      <c r="D30" s="2352"/>
      <c r="E30" s="2352"/>
      <c r="F30" s="2352"/>
      <c r="G30" s="2352"/>
      <c r="H30" s="2352"/>
      <c r="I30" s="2352"/>
      <c r="J30" s="2352"/>
      <c r="K30" s="2352"/>
      <c r="L30" s="2352"/>
      <c r="M30" s="2352"/>
      <c r="N30" s="2352"/>
      <c r="O30" s="2352"/>
      <c r="P30" s="2352"/>
      <c r="Q30" s="2352"/>
      <c r="R30" s="2352"/>
      <c r="S30" s="2352"/>
      <c r="T30" s="2352"/>
      <c r="U30" s="2352"/>
      <c r="V30" s="2352"/>
      <c r="W30" s="2352"/>
    </row>
    <row r="31" spans="1:24" ht="17.5" x14ac:dyDescent="0.35">
      <c r="A31" s="2352" t="s">
        <v>630</v>
      </c>
      <c r="B31" s="2352"/>
      <c r="C31" s="2352"/>
      <c r="D31" s="2352"/>
      <c r="E31" s="2352"/>
      <c r="F31" s="2352"/>
      <c r="G31" s="2352"/>
      <c r="H31" s="2352"/>
      <c r="I31" s="2352"/>
      <c r="J31" s="2352"/>
      <c r="K31" s="2352"/>
      <c r="L31" s="2352"/>
      <c r="M31" s="2352"/>
      <c r="N31" s="2352"/>
      <c r="O31" s="2352"/>
      <c r="P31" s="2352"/>
      <c r="Q31" s="2352"/>
      <c r="R31" s="2352"/>
      <c r="S31" s="2352"/>
      <c r="T31" s="2352"/>
      <c r="U31" s="2352"/>
      <c r="V31" s="2352"/>
      <c r="W31" s="2352"/>
    </row>
    <row r="32" spans="1:24" ht="17.5" hidden="1" x14ac:dyDescent="0.35">
      <c r="A32" s="2352"/>
      <c r="B32" s="2352"/>
      <c r="C32" s="2352"/>
      <c r="D32" s="2352"/>
      <c r="E32" s="2352"/>
      <c r="F32" s="2352"/>
      <c r="G32" s="2352"/>
      <c r="H32" s="2352"/>
      <c r="I32" s="2352"/>
      <c r="J32" s="2352"/>
      <c r="K32" s="2352"/>
      <c r="L32" s="2352"/>
    </row>
    <row r="33" spans="1:23" ht="17.5" x14ac:dyDescent="0.35">
      <c r="A33" s="2352" t="s">
        <v>992</v>
      </c>
      <c r="B33" s="2352"/>
      <c r="C33" s="2352"/>
      <c r="D33" s="2352"/>
      <c r="E33" s="2352"/>
      <c r="F33" s="2352"/>
      <c r="G33" s="2352"/>
      <c r="H33" s="2352"/>
      <c r="I33" s="2352"/>
      <c r="J33" s="2352"/>
      <c r="K33" s="2352"/>
      <c r="L33" s="2352"/>
      <c r="M33" s="2352"/>
      <c r="N33" s="2352"/>
      <c r="O33" s="2352"/>
      <c r="P33" s="2352"/>
      <c r="Q33" s="2352"/>
      <c r="R33" s="2352"/>
      <c r="S33" s="2352"/>
      <c r="T33" s="2352"/>
      <c r="U33" s="2352"/>
      <c r="V33" s="2352"/>
      <c r="W33" s="2352"/>
    </row>
    <row r="34" spans="1:23" ht="16" thickBot="1" x14ac:dyDescent="0.4">
      <c r="A34" s="971"/>
      <c r="B34" s="971"/>
      <c r="C34" s="971"/>
      <c r="D34" s="971"/>
      <c r="E34" s="971"/>
      <c r="F34" s="971"/>
      <c r="G34" s="971"/>
      <c r="H34" s="971"/>
      <c r="I34" s="971"/>
      <c r="J34" s="971"/>
      <c r="K34" s="2461"/>
      <c r="L34" s="2461"/>
      <c r="R34" s="2602"/>
      <c r="S34" s="2602"/>
      <c r="T34" s="2602" t="s">
        <v>631</v>
      </c>
      <c r="U34" s="2602"/>
      <c r="W34" s="541" t="s">
        <v>631</v>
      </c>
    </row>
    <row r="35" spans="1:23" x14ac:dyDescent="0.35">
      <c r="A35" s="2457" t="s">
        <v>632</v>
      </c>
      <c r="B35" s="2458"/>
      <c r="C35" s="2459"/>
      <c r="D35" s="2467" t="s">
        <v>633</v>
      </c>
      <c r="E35" s="2468"/>
      <c r="F35" s="2468"/>
      <c r="G35" s="2468"/>
      <c r="H35" s="2468"/>
      <c r="I35" s="2468"/>
      <c r="J35" s="2353"/>
      <c r="K35" s="2467" t="s">
        <v>843</v>
      </c>
      <c r="L35" s="2353"/>
      <c r="M35" s="2703" t="s">
        <v>635</v>
      </c>
      <c r="N35" s="2599" t="s">
        <v>636</v>
      </c>
      <c r="O35" s="2599" t="s">
        <v>637</v>
      </c>
      <c r="P35" s="2703" t="s">
        <v>638</v>
      </c>
      <c r="Q35" s="2591" t="s">
        <v>639</v>
      </c>
      <c r="R35" s="2593" t="s">
        <v>634</v>
      </c>
      <c r="S35" s="2594"/>
      <c r="T35" s="2593" t="s">
        <v>640</v>
      </c>
      <c r="U35" s="2594"/>
      <c r="V35" s="2353" t="s">
        <v>894</v>
      </c>
      <c r="W35" s="2353" t="s">
        <v>993</v>
      </c>
    </row>
    <row r="36" spans="1:23" ht="16" thickBot="1" x14ac:dyDescent="0.4">
      <c r="A36" s="2460" t="s">
        <v>641</v>
      </c>
      <c r="B36" s="2461"/>
      <c r="C36" s="2462"/>
      <c r="D36" s="2469"/>
      <c r="E36" s="2470"/>
      <c r="F36" s="2470"/>
      <c r="G36" s="2470"/>
      <c r="H36" s="2470"/>
      <c r="I36" s="2470"/>
      <c r="J36" s="2354"/>
      <c r="K36" s="2469"/>
      <c r="L36" s="2354"/>
      <c r="M36" s="2704"/>
      <c r="N36" s="2600"/>
      <c r="O36" s="2600"/>
      <c r="P36" s="2704"/>
      <c r="Q36" s="2592"/>
      <c r="R36" s="2595"/>
      <c r="S36" s="2596"/>
      <c r="T36" s="2595"/>
      <c r="U36" s="2596"/>
      <c r="V36" s="2354"/>
      <c r="W36" s="2354"/>
    </row>
    <row r="37" spans="1:23" ht="16" thickBot="1" x14ac:dyDescent="0.4">
      <c r="A37" s="972"/>
      <c r="B37" s="2264">
        <v>1</v>
      </c>
      <c r="C37" s="974"/>
      <c r="D37" s="972"/>
      <c r="E37" s="975"/>
      <c r="F37" s="975"/>
      <c r="G37" s="2264">
        <v>2</v>
      </c>
      <c r="H37" s="975"/>
      <c r="I37" s="975"/>
      <c r="J37" s="974"/>
      <c r="K37" s="2555">
        <v>3</v>
      </c>
      <c r="L37" s="2557"/>
      <c r="M37" s="2274"/>
      <c r="N37" s="2274"/>
      <c r="O37" s="2274"/>
      <c r="P37" s="2274"/>
      <c r="Q37" s="879"/>
      <c r="R37" s="2597">
        <v>3</v>
      </c>
      <c r="S37" s="2598"/>
      <c r="T37" s="2597">
        <v>3</v>
      </c>
      <c r="U37" s="2598"/>
      <c r="V37" s="2265">
        <v>4</v>
      </c>
      <c r="W37" s="2265">
        <v>5</v>
      </c>
    </row>
    <row r="38" spans="1:23" ht="15.65" customHeight="1" x14ac:dyDescent="0.25">
      <c r="A38" s="2407" t="s">
        <v>642</v>
      </c>
      <c r="B38" s="2408"/>
      <c r="C38" s="2409"/>
      <c r="D38" s="2583" t="s">
        <v>643</v>
      </c>
      <c r="E38" s="2584"/>
      <c r="F38" s="2584"/>
      <c r="G38" s="2584"/>
      <c r="H38" s="2584"/>
      <c r="I38" s="2584"/>
      <c r="J38" s="2585"/>
      <c r="K38" s="2547">
        <f>K40+K44+K47+K51+K57+K63+K82+K88+K100+K104</f>
        <v>80681.678</v>
      </c>
      <c r="L38" s="2355"/>
      <c r="M38" s="2661">
        <v>17235.358</v>
      </c>
      <c r="N38" s="2661"/>
      <c r="O38" s="2661"/>
      <c r="P38" s="2661">
        <f>P40+P51+P57+P63+P82+P88+P104</f>
        <v>24432.394</v>
      </c>
      <c r="Q38" s="2661">
        <v>20829</v>
      </c>
      <c r="R38" s="2540">
        <f>R40+R51+R57+R63+R82+R88+R104+R47+R44+R100</f>
        <v>73575.200000000012</v>
      </c>
      <c r="S38" s="2541"/>
      <c r="T38" s="2540">
        <f>T40+T51+T57+T63+T82+T88+T104+T47+T44+T100</f>
        <v>75638.700000000012</v>
      </c>
      <c r="U38" s="2541"/>
      <c r="V38" s="2355">
        <f>V40+V44+V47+V51+V57+V63+V82+V88+V100+V104</f>
        <v>77856.865000000005</v>
      </c>
      <c r="W38" s="2355">
        <f>W40+W44+W47+W51+W57+W63+W82+W88+W100+W104</f>
        <v>79559.585999999996</v>
      </c>
    </row>
    <row r="39" spans="1:23" ht="13.9" customHeight="1" thickBot="1" x14ac:dyDescent="0.3">
      <c r="A39" s="2410"/>
      <c r="B39" s="2411"/>
      <c r="C39" s="2412"/>
      <c r="D39" s="2586"/>
      <c r="E39" s="2587"/>
      <c r="F39" s="2587"/>
      <c r="G39" s="2587"/>
      <c r="H39" s="2587"/>
      <c r="I39" s="2587"/>
      <c r="J39" s="2588"/>
      <c r="K39" s="2548"/>
      <c r="L39" s="2356"/>
      <c r="M39" s="2661"/>
      <c r="N39" s="2661"/>
      <c r="O39" s="2661"/>
      <c r="P39" s="2661"/>
      <c r="Q39" s="2661"/>
      <c r="R39" s="2542"/>
      <c r="S39" s="2543"/>
      <c r="T39" s="2542"/>
      <c r="U39" s="2543"/>
      <c r="V39" s="2356"/>
      <c r="W39" s="2356"/>
    </row>
    <row r="40" spans="1:23" ht="15" x14ac:dyDescent="0.3">
      <c r="A40" s="976" t="s">
        <v>644</v>
      </c>
      <c r="B40" s="977"/>
      <c r="C40" s="978"/>
      <c r="D40" s="2583" t="s">
        <v>645</v>
      </c>
      <c r="E40" s="2584"/>
      <c r="F40" s="2584"/>
      <c r="G40" s="2584"/>
      <c r="H40" s="2584"/>
      <c r="I40" s="2584"/>
      <c r="J40" s="2585"/>
      <c r="K40" s="2547">
        <f>K42</f>
        <v>38456.845999999998</v>
      </c>
      <c r="L40" s="2355"/>
      <c r="M40" s="2661">
        <v>4523.7</v>
      </c>
      <c r="N40" s="2661"/>
      <c r="O40" s="2661"/>
      <c r="P40" s="2661">
        <f>P42</f>
        <v>5592.7</v>
      </c>
      <c r="Q40" s="2582">
        <v>4938.4639999999999</v>
      </c>
      <c r="R40" s="2540">
        <f>R42</f>
        <v>25200</v>
      </c>
      <c r="S40" s="2541"/>
      <c r="T40" s="2540">
        <f>T42</f>
        <v>26208</v>
      </c>
      <c r="U40" s="2541"/>
      <c r="V40" s="2355">
        <f>V42</f>
        <v>36782.142999999996</v>
      </c>
      <c r="W40" s="2355">
        <f>W42</f>
        <v>38253.428</v>
      </c>
    </row>
    <row r="41" spans="1:23" thickBot="1" x14ac:dyDescent="0.35">
      <c r="A41" s="979" t="s">
        <v>646</v>
      </c>
      <c r="B41" s="980"/>
      <c r="C41" s="981"/>
      <c r="D41" s="2586"/>
      <c r="E41" s="2587"/>
      <c r="F41" s="2587"/>
      <c r="G41" s="2587"/>
      <c r="H41" s="2587"/>
      <c r="I41" s="2587"/>
      <c r="J41" s="2588"/>
      <c r="K41" s="2548"/>
      <c r="L41" s="2356"/>
      <c r="M41" s="2661"/>
      <c r="N41" s="2661"/>
      <c r="O41" s="2661"/>
      <c r="P41" s="2661"/>
      <c r="Q41" s="2582"/>
      <c r="R41" s="2542"/>
      <c r="S41" s="2543"/>
      <c r="T41" s="2542"/>
      <c r="U41" s="2543"/>
      <c r="V41" s="2356"/>
      <c r="W41" s="2356"/>
    </row>
    <row r="42" spans="1:23" x14ac:dyDescent="0.35">
      <c r="A42" s="2457" t="s">
        <v>647</v>
      </c>
      <c r="B42" s="2458"/>
      <c r="C42" s="2459"/>
      <c r="D42" s="982"/>
      <c r="E42" s="983"/>
      <c r="F42" s="983"/>
      <c r="G42" s="983"/>
      <c r="H42" s="983"/>
      <c r="I42" s="983"/>
      <c r="J42" s="984"/>
      <c r="K42" s="2544">
        <f>35367.445+3089.401</f>
        <v>38456.845999999998</v>
      </c>
      <c r="L42" s="2357"/>
      <c r="M42" s="2661">
        <v>4523.7</v>
      </c>
      <c r="N42" s="2661">
        <v>534.5</v>
      </c>
      <c r="O42" s="2661">
        <v>534.5</v>
      </c>
      <c r="P42" s="2661">
        <f>M42+N42+O42</f>
        <v>5592.7</v>
      </c>
      <c r="Q42" s="2582">
        <v>4938.4639999999999</v>
      </c>
      <c r="R42" s="2549">
        <v>25200</v>
      </c>
      <c r="S42" s="2550"/>
      <c r="T42" s="2549">
        <v>26208</v>
      </c>
      <c r="U42" s="2550"/>
      <c r="V42" s="2357">
        <v>36782.142999999996</v>
      </c>
      <c r="W42" s="2357">
        <v>38253.428</v>
      </c>
    </row>
    <row r="43" spans="1:23" ht="16" thickBot="1" x14ac:dyDescent="0.4">
      <c r="A43" s="2460"/>
      <c r="B43" s="2461"/>
      <c r="C43" s="2462"/>
      <c r="D43" s="985" t="s">
        <v>648</v>
      </c>
      <c r="E43" s="986"/>
      <c r="F43" s="986"/>
      <c r="G43" s="986"/>
      <c r="H43" s="986"/>
      <c r="I43" s="986"/>
      <c r="J43" s="987"/>
      <c r="K43" s="2546"/>
      <c r="L43" s="2358"/>
      <c r="M43" s="2661"/>
      <c r="N43" s="2661"/>
      <c r="O43" s="2661"/>
      <c r="P43" s="2661"/>
      <c r="Q43" s="2582"/>
      <c r="R43" s="2553"/>
      <c r="S43" s="2554"/>
      <c r="T43" s="2553"/>
      <c r="U43" s="2554"/>
      <c r="V43" s="2358"/>
      <c r="W43" s="2358"/>
    </row>
    <row r="44" spans="1:23" ht="15.65" customHeight="1" x14ac:dyDescent="0.25">
      <c r="A44" s="2479" t="s">
        <v>649</v>
      </c>
      <c r="B44" s="2480"/>
      <c r="C44" s="2481"/>
      <c r="D44" s="2645" t="s">
        <v>650</v>
      </c>
      <c r="E44" s="2646"/>
      <c r="F44" s="2646"/>
      <c r="G44" s="2646"/>
      <c r="H44" s="2646"/>
      <c r="I44" s="2646"/>
      <c r="J44" s="2647"/>
      <c r="K44" s="2547">
        <f>K46</f>
        <v>948.322</v>
      </c>
      <c r="L44" s="2355"/>
      <c r="M44" s="2661">
        <v>9794</v>
      </c>
      <c r="N44" s="2661"/>
      <c r="O44" s="2661"/>
      <c r="P44" s="2661" t="e">
        <f>#REF!+P47+P48</f>
        <v>#REF!</v>
      </c>
      <c r="Q44" s="2566">
        <v>12087.288329999999</v>
      </c>
      <c r="R44" s="2540">
        <f>R46</f>
        <v>0</v>
      </c>
      <c r="S44" s="2541"/>
      <c r="T44" s="2540">
        <f>T46</f>
        <v>0</v>
      </c>
      <c r="U44" s="2541"/>
      <c r="V44" s="2355">
        <f>V46</f>
        <v>948.322</v>
      </c>
      <c r="W44" s="2355"/>
    </row>
    <row r="45" spans="1:23" ht="16.149999999999999" customHeight="1" thickBot="1" x14ac:dyDescent="0.3">
      <c r="A45" s="2482"/>
      <c r="B45" s="2483"/>
      <c r="C45" s="2484"/>
      <c r="D45" s="2648"/>
      <c r="E45" s="2649"/>
      <c r="F45" s="2649"/>
      <c r="G45" s="2649"/>
      <c r="H45" s="2649"/>
      <c r="I45" s="2649"/>
      <c r="J45" s="2650"/>
      <c r="K45" s="2548"/>
      <c r="L45" s="2356"/>
      <c r="M45" s="2661"/>
      <c r="N45" s="2661"/>
      <c r="O45" s="2661"/>
      <c r="P45" s="2661"/>
      <c r="Q45" s="2566"/>
      <c r="R45" s="2542"/>
      <c r="S45" s="2543"/>
      <c r="T45" s="2542"/>
      <c r="U45" s="2543"/>
      <c r="V45" s="2356"/>
      <c r="W45" s="2356"/>
    </row>
    <row r="46" spans="1:23" ht="31.15" customHeight="1" thickBot="1" x14ac:dyDescent="0.4">
      <c r="A46" s="2570" t="s">
        <v>651</v>
      </c>
      <c r="B46" s="2571"/>
      <c r="C46" s="2572"/>
      <c r="D46" s="2700" t="s">
        <v>652</v>
      </c>
      <c r="E46" s="2701"/>
      <c r="F46" s="2701"/>
      <c r="G46" s="2701"/>
      <c r="H46" s="2701"/>
      <c r="I46" s="2701"/>
      <c r="J46" s="2702"/>
      <c r="K46" s="2558">
        <v>948.322</v>
      </c>
      <c r="L46" s="2559"/>
      <c r="M46" s="2275">
        <v>124</v>
      </c>
      <c r="N46" s="2275"/>
      <c r="O46" s="2275"/>
      <c r="P46" s="2275">
        <f>M46+N46+O46</f>
        <v>124</v>
      </c>
      <c r="Q46" s="2267">
        <v>206.22337999999999</v>
      </c>
      <c r="R46" s="2560"/>
      <c r="S46" s="2561"/>
      <c r="T46" s="2560"/>
      <c r="U46" s="2561"/>
      <c r="V46" s="2266">
        <v>948.322</v>
      </c>
      <c r="W46" s="2266"/>
    </row>
    <row r="47" spans="1:23" ht="15.65" customHeight="1" x14ac:dyDescent="0.25">
      <c r="A47" s="2479" t="s">
        <v>653</v>
      </c>
      <c r="B47" s="2480"/>
      <c r="C47" s="2481"/>
      <c r="D47" s="2485" t="s">
        <v>654</v>
      </c>
      <c r="E47" s="2486"/>
      <c r="F47" s="2486"/>
      <c r="G47" s="2486"/>
      <c r="H47" s="2486"/>
      <c r="I47" s="2486"/>
      <c r="J47" s="2487"/>
      <c r="K47" s="2547">
        <f>K50</f>
        <v>509</v>
      </c>
      <c r="L47" s="2355"/>
      <c r="M47" s="2661">
        <v>9794</v>
      </c>
      <c r="N47" s="2661"/>
      <c r="O47" s="2661"/>
      <c r="P47" s="2661">
        <f>P50+P51+P52</f>
        <v>15318</v>
      </c>
      <c r="Q47" s="2566">
        <v>12087.288329999999</v>
      </c>
      <c r="R47" s="2540">
        <f>R50</f>
        <v>75.8</v>
      </c>
      <c r="S47" s="2541"/>
      <c r="T47" s="2540">
        <f>T50</f>
        <v>80</v>
      </c>
      <c r="U47" s="2541"/>
      <c r="V47" s="2355">
        <f>V50</f>
        <v>529.36</v>
      </c>
      <c r="W47" s="2355">
        <f>W50</f>
        <v>563.81600000000003</v>
      </c>
    </row>
    <row r="48" spans="1:23" ht="16.149999999999999" customHeight="1" thickBot="1" x14ac:dyDescent="0.3">
      <c r="A48" s="2482"/>
      <c r="B48" s="2483"/>
      <c r="C48" s="2484"/>
      <c r="D48" s="2488"/>
      <c r="E48" s="2489"/>
      <c r="F48" s="2489"/>
      <c r="G48" s="2489"/>
      <c r="H48" s="2489"/>
      <c r="I48" s="2489"/>
      <c r="J48" s="2490"/>
      <c r="K48" s="2548"/>
      <c r="L48" s="2356"/>
      <c r="M48" s="2661"/>
      <c r="N48" s="2661"/>
      <c r="O48" s="2661"/>
      <c r="P48" s="2661"/>
      <c r="Q48" s="2566"/>
      <c r="R48" s="2542"/>
      <c r="S48" s="2543"/>
      <c r="T48" s="2542"/>
      <c r="U48" s="2543"/>
      <c r="V48" s="2356"/>
      <c r="W48" s="2356"/>
    </row>
    <row r="49" spans="1:23" ht="16.149999999999999" hidden="1" customHeight="1" x14ac:dyDescent="0.35">
      <c r="A49" s="979"/>
      <c r="B49" s="980"/>
      <c r="C49" s="980"/>
      <c r="D49" s="988"/>
      <c r="E49" s="989"/>
      <c r="F49" s="989"/>
      <c r="G49" s="989"/>
      <c r="H49" s="989"/>
      <c r="I49" s="989"/>
      <c r="J49" s="990"/>
      <c r="K49" s="991"/>
      <c r="L49" s="2254"/>
      <c r="M49" s="2276"/>
      <c r="N49" s="2276"/>
      <c r="O49" s="2276"/>
      <c r="P49" s="2276"/>
      <c r="Q49" s="1793"/>
      <c r="R49" s="446"/>
      <c r="S49" s="2263"/>
      <c r="T49" s="446"/>
      <c r="U49" s="2263"/>
      <c r="V49" s="2254"/>
      <c r="W49" s="2254"/>
    </row>
    <row r="50" spans="1:23" ht="16" thickBot="1" x14ac:dyDescent="0.4">
      <c r="A50" s="2555" t="s">
        <v>655</v>
      </c>
      <c r="B50" s="2556"/>
      <c r="C50" s="2557"/>
      <c r="D50" s="2567" t="s">
        <v>656</v>
      </c>
      <c r="E50" s="2568"/>
      <c r="F50" s="2568"/>
      <c r="G50" s="2568"/>
      <c r="H50" s="2568"/>
      <c r="I50" s="2568"/>
      <c r="J50" s="2569"/>
      <c r="K50" s="2558">
        <v>509</v>
      </c>
      <c r="L50" s="2559"/>
      <c r="M50" s="2275">
        <v>124</v>
      </c>
      <c r="N50" s="2275"/>
      <c r="O50" s="2275"/>
      <c r="P50" s="2275">
        <f>M50+N50+O50</f>
        <v>124</v>
      </c>
      <c r="Q50" s="2267">
        <v>206.22337999999999</v>
      </c>
      <c r="R50" s="2560">
        <v>75.8</v>
      </c>
      <c r="S50" s="2561"/>
      <c r="T50" s="2560">
        <v>80</v>
      </c>
      <c r="U50" s="2561"/>
      <c r="V50" s="2266">
        <v>529.36</v>
      </c>
      <c r="W50" s="2266">
        <v>563.81600000000003</v>
      </c>
    </row>
    <row r="51" spans="1:23" ht="15.65" customHeight="1" x14ac:dyDescent="0.25">
      <c r="A51" s="2479" t="s">
        <v>657</v>
      </c>
      <c r="B51" s="2480"/>
      <c r="C51" s="2481"/>
      <c r="D51" s="2485" t="s">
        <v>658</v>
      </c>
      <c r="E51" s="2486"/>
      <c r="F51" s="2486"/>
      <c r="G51" s="2486"/>
      <c r="H51" s="2486"/>
      <c r="I51" s="2486"/>
      <c r="J51" s="2487"/>
      <c r="K51" s="2547">
        <f>K54+K56+K55</f>
        <v>38456.736000000004</v>
      </c>
      <c r="L51" s="2355"/>
      <c r="M51" s="2661">
        <v>9794</v>
      </c>
      <c r="N51" s="2661"/>
      <c r="O51" s="2661"/>
      <c r="P51" s="2661">
        <f>P54+P55+P56</f>
        <v>15194</v>
      </c>
      <c r="Q51" s="2566">
        <v>12087.288329999999</v>
      </c>
      <c r="R51" s="2540">
        <f>R54+R56+R55</f>
        <v>44797.8</v>
      </c>
      <c r="S51" s="2541"/>
      <c r="T51" s="2540">
        <f>T54+T56+T55</f>
        <v>46588.6</v>
      </c>
      <c r="U51" s="2541"/>
      <c r="V51" s="2355">
        <f>V54+V56</f>
        <v>37760.94</v>
      </c>
      <c r="W51" s="2355">
        <f>W54+W56</f>
        <v>38867.346000000005</v>
      </c>
    </row>
    <row r="52" spans="1:23" ht="16.149999999999999" customHeight="1" thickBot="1" x14ac:dyDescent="0.3">
      <c r="A52" s="2482"/>
      <c r="B52" s="2483"/>
      <c r="C52" s="2484"/>
      <c r="D52" s="2488"/>
      <c r="E52" s="2489"/>
      <c r="F52" s="2489"/>
      <c r="G52" s="2489"/>
      <c r="H52" s="2489"/>
      <c r="I52" s="2489"/>
      <c r="J52" s="2490"/>
      <c r="K52" s="2548"/>
      <c r="L52" s="2356"/>
      <c r="M52" s="2661"/>
      <c r="N52" s="2661"/>
      <c r="O52" s="2661"/>
      <c r="P52" s="2661"/>
      <c r="Q52" s="2566"/>
      <c r="R52" s="2542"/>
      <c r="S52" s="2543"/>
      <c r="T52" s="2542"/>
      <c r="U52" s="2543"/>
      <c r="V52" s="2356"/>
      <c r="W52" s="2356"/>
    </row>
    <row r="53" spans="1:23" ht="16.149999999999999" hidden="1" customHeight="1" x14ac:dyDescent="0.35">
      <c r="A53" s="979"/>
      <c r="B53" s="980"/>
      <c r="C53" s="980"/>
      <c r="D53" s="993"/>
      <c r="E53" s="994"/>
      <c r="F53" s="994"/>
      <c r="G53" s="994"/>
      <c r="H53" s="994"/>
      <c r="I53" s="994"/>
      <c r="J53" s="995"/>
      <c r="K53" s="991"/>
      <c r="L53" s="2254"/>
      <c r="M53" s="2276"/>
      <c r="N53" s="2276"/>
      <c r="O53" s="2276"/>
      <c r="P53" s="2276"/>
      <c r="Q53" s="1793"/>
      <c r="R53" s="446"/>
      <c r="S53" s="2263"/>
      <c r="T53" s="446"/>
      <c r="U53" s="2263"/>
      <c r="V53" s="2254"/>
      <c r="W53" s="2254"/>
    </row>
    <row r="54" spans="1:23" ht="16" thickBot="1" x14ac:dyDescent="0.4">
      <c r="A54" s="2555" t="s">
        <v>659</v>
      </c>
      <c r="B54" s="2556"/>
      <c r="C54" s="2557"/>
      <c r="D54" s="972" t="s">
        <v>660</v>
      </c>
      <c r="E54" s="975"/>
      <c r="F54" s="975"/>
      <c r="G54" s="975"/>
      <c r="H54" s="975"/>
      <c r="I54" s="975"/>
      <c r="J54" s="974"/>
      <c r="K54" s="2558">
        <v>5166</v>
      </c>
      <c r="L54" s="2559"/>
      <c r="M54" s="2275">
        <v>124</v>
      </c>
      <c r="N54" s="2275"/>
      <c r="O54" s="2275"/>
      <c r="P54" s="2275">
        <f>M54+N54+O54</f>
        <v>124</v>
      </c>
      <c r="Q54" s="2267">
        <v>206.22337999999999</v>
      </c>
      <c r="R54" s="2560">
        <v>3816</v>
      </c>
      <c r="S54" s="2561"/>
      <c r="T54" s="2560">
        <v>3968.6</v>
      </c>
      <c r="U54" s="2561"/>
      <c r="V54" s="2266">
        <v>5372.64</v>
      </c>
      <c r="W54" s="2266">
        <v>5587.5460000000003</v>
      </c>
    </row>
    <row r="55" spans="1:23" ht="15.65" hidden="1" customHeight="1" x14ac:dyDescent="0.35">
      <c r="A55" s="2555" t="s">
        <v>661</v>
      </c>
      <c r="B55" s="2556"/>
      <c r="C55" s="2557"/>
      <c r="D55" s="996" t="s">
        <v>662</v>
      </c>
      <c r="E55" s="997"/>
      <c r="F55" s="997"/>
      <c r="G55" s="997"/>
      <c r="H55" s="997"/>
      <c r="I55" s="997"/>
      <c r="J55" s="998"/>
      <c r="K55" s="2558"/>
      <c r="L55" s="2559"/>
      <c r="M55" s="2275">
        <v>1970</v>
      </c>
      <c r="N55" s="2275">
        <v>700</v>
      </c>
      <c r="O55" s="2275">
        <v>700</v>
      </c>
      <c r="P55" s="2275">
        <f>M55+N55+O55</f>
        <v>3370</v>
      </c>
      <c r="Q55" s="2267">
        <v>2811.7408799999998</v>
      </c>
      <c r="R55" s="2560">
        <v>9783.7999999999993</v>
      </c>
      <c r="S55" s="2561"/>
      <c r="T55" s="2560">
        <v>10175</v>
      </c>
      <c r="U55" s="2561"/>
      <c r="V55" s="2266"/>
      <c r="W55" s="2266"/>
    </row>
    <row r="56" spans="1:23" ht="16" thickBot="1" x14ac:dyDescent="0.4">
      <c r="A56" s="2555" t="s">
        <v>663</v>
      </c>
      <c r="B56" s="2556"/>
      <c r="C56" s="2557"/>
      <c r="D56" s="972" t="s">
        <v>664</v>
      </c>
      <c r="E56" s="975"/>
      <c r="F56" s="975"/>
      <c r="G56" s="975"/>
      <c r="H56" s="975"/>
      <c r="I56" s="975"/>
      <c r="J56" s="974"/>
      <c r="K56" s="2558">
        <f>31820.9+1469.836</f>
        <v>33290.736000000004</v>
      </c>
      <c r="L56" s="2559"/>
      <c r="M56" s="2275">
        <v>7700</v>
      </c>
      <c r="N56" s="2275">
        <v>2000</v>
      </c>
      <c r="O56" s="2275">
        <v>2000</v>
      </c>
      <c r="P56" s="2275">
        <f>M56+N56+O56</f>
        <v>11700</v>
      </c>
      <c r="Q56" s="2267">
        <v>9069.3240700000006</v>
      </c>
      <c r="R56" s="2560">
        <v>31198</v>
      </c>
      <c r="S56" s="2561"/>
      <c r="T56" s="2560">
        <v>32445</v>
      </c>
      <c r="U56" s="2561"/>
      <c r="V56" s="2266">
        <v>32388.3</v>
      </c>
      <c r="W56" s="2266">
        <v>33279.800000000003</v>
      </c>
    </row>
    <row r="57" spans="1:23" ht="15.65" customHeight="1" x14ac:dyDescent="0.25">
      <c r="A57" s="2479" t="s">
        <v>665</v>
      </c>
      <c r="B57" s="2480"/>
      <c r="C57" s="2481"/>
      <c r="D57" s="2485" t="s">
        <v>666</v>
      </c>
      <c r="E57" s="2486"/>
      <c r="F57" s="2486"/>
      <c r="G57" s="2486"/>
      <c r="H57" s="2486"/>
      <c r="I57" s="2486"/>
      <c r="J57" s="2487"/>
      <c r="K57" s="2547">
        <f>K59</f>
        <v>5</v>
      </c>
      <c r="L57" s="2355"/>
      <c r="M57" s="2661">
        <v>17</v>
      </c>
      <c r="N57" s="2661"/>
      <c r="O57" s="2661"/>
      <c r="P57" s="2661">
        <f>M57+N57+O57</f>
        <v>17</v>
      </c>
      <c r="Q57" s="2661">
        <v>3.9649999999999999</v>
      </c>
      <c r="R57" s="2540">
        <f>R59</f>
        <v>8</v>
      </c>
      <c r="S57" s="2541"/>
      <c r="T57" s="2540">
        <f>T59</f>
        <v>10</v>
      </c>
      <c r="U57" s="2541"/>
      <c r="V57" s="2355">
        <v>5</v>
      </c>
      <c r="W57" s="2355">
        <v>5</v>
      </c>
    </row>
    <row r="58" spans="1:23" ht="13.9" customHeight="1" thickBot="1" x14ac:dyDescent="0.3">
      <c r="A58" s="2482"/>
      <c r="B58" s="2483"/>
      <c r="C58" s="2484"/>
      <c r="D58" s="2488"/>
      <c r="E58" s="2489"/>
      <c r="F58" s="2489"/>
      <c r="G58" s="2489"/>
      <c r="H58" s="2489"/>
      <c r="I58" s="2489"/>
      <c r="J58" s="2490"/>
      <c r="K58" s="2548"/>
      <c r="L58" s="2356"/>
      <c r="M58" s="2661"/>
      <c r="N58" s="2661"/>
      <c r="O58" s="2661"/>
      <c r="P58" s="2661"/>
      <c r="Q58" s="2661"/>
      <c r="R58" s="2542"/>
      <c r="S58" s="2543"/>
      <c r="T58" s="2542"/>
      <c r="U58" s="2543"/>
      <c r="V58" s="2356"/>
      <c r="W58" s="2356"/>
    </row>
    <row r="59" spans="1:23" x14ac:dyDescent="0.35">
      <c r="A59" s="2467" t="s">
        <v>667</v>
      </c>
      <c r="B59" s="2468"/>
      <c r="C59" s="2353"/>
      <c r="D59" s="982" t="s">
        <v>668</v>
      </c>
      <c r="E59" s="983"/>
      <c r="F59" s="983"/>
      <c r="G59" s="983"/>
      <c r="H59" s="983"/>
      <c r="I59" s="983"/>
      <c r="J59" s="983"/>
      <c r="K59" s="2544">
        <v>5</v>
      </c>
      <c r="L59" s="2357"/>
      <c r="M59" s="2661">
        <v>17</v>
      </c>
      <c r="N59" s="2661"/>
      <c r="O59" s="2661"/>
      <c r="P59" s="2661">
        <f>M59+N59+O59</f>
        <v>17</v>
      </c>
      <c r="Q59" s="2661">
        <v>3.9649999999999999</v>
      </c>
      <c r="R59" s="2549">
        <v>8</v>
      </c>
      <c r="S59" s="2550"/>
      <c r="T59" s="2549">
        <v>10</v>
      </c>
      <c r="U59" s="2550"/>
      <c r="V59" s="2357">
        <v>5</v>
      </c>
      <c r="W59" s="2357">
        <v>5</v>
      </c>
    </row>
    <row r="60" spans="1:23" x14ac:dyDescent="0.35">
      <c r="A60" s="2492"/>
      <c r="B60" s="2493"/>
      <c r="C60" s="2494"/>
      <c r="D60" s="996" t="s">
        <v>669</v>
      </c>
      <c r="E60" s="997"/>
      <c r="F60" s="997"/>
      <c r="G60" s="997"/>
      <c r="H60" s="997"/>
      <c r="I60" s="997"/>
      <c r="J60" s="997"/>
      <c r="K60" s="2545"/>
      <c r="L60" s="2359"/>
      <c r="M60" s="2661"/>
      <c r="N60" s="2661"/>
      <c r="O60" s="2661"/>
      <c r="P60" s="2661"/>
      <c r="Q60" s="2661"/>
      <c r="R60" s="2551"/>
      <c r="S60" s="2552"/>
      <c r="T60" s="2551"/>
      <c r="U60" s="2552"/>
      <c r="V60" s="2359"/>
      <c r="W60" s="2359"/>
    </row>
    <row r="61" spans="1:23" x14ac:dyDescent="0.35">
      <c r="A61" s="2492"/>
      <c r="B61" s="2493"/>
      <c r="C61" s="2494"/>
      <c r="D61" s="996" t="s">
        <v>670</v>
      </c>
      <c r="E61" s="997"/>
      <c r="F61" s="997"/>
      <c r="G61" s="997"/>
      <c r="H61" s="997"/>
      <c r="I61" s="997"/>
      <c r="J61" s="997"/>
      <c r="K61" s="2545"/>
      <c r="L61" s="2359"/>
      <c r="M61" s="2661"/>
      <c r="N61" s="2661"/>
      <c r="O61" s="2661"/>
      <c r="P61" s="2661"/>
      <c r="Q61" s="2661"/>
      <c r="R61" s="2551"/>
      <c r="S61" s="2552"/>
      <c r="T61" s="2551"/>
      <c r="U61" s="2552"/>
      <c r="V61" s="2359"/>
      <c r="W61" s="2359"/>
    </row>
    <row r="62" spans="1:23" ht="16" thickBot="1" x14ac:dyDescent="0.4">
      <c r="A62" s="2469"/>
      <c r="B62" s="2470"/>
      <c r="C62" s="2354"/>
      <c r="D62" s="985" t="s">
        <v>671</v>
      </c>
      <c r="E62" s="986"/>
      <c r="F62" s="986"/>
      <c r="G62" s="986"/>
      <c r="H62" s="986"/>
      <c r="I62" s="986"/>
      <c r="J62" s="986"/>
      <c r="K62" s="2546"/>
      <c r="L62" s="2358"/>
      <c r="M62" s="2661"/>
      <c r="N62" s="2661"/>
      <c r="O62" s="2661"/>
      <c r="P62" s="2661"/>
      <c r="Q62" s="2661"/>
      <c r="R62" s="2553"/>
      <c r="S62" s="2554"/>
      <c r="T62" s="2553"/>
      <c r="U62" s="2554"/>
      <c r="V62" s="2358"/>
      <c r="W62" s="2358"/>
    </row>
    <row r="63" spans="1:23" ht="15" x14ac:dyDescent="0.3">
      <c r="A63" s="2479" t="s">
        <v>672</v>
      </c>
      <c r="B63" s="2480"/>
      <c r="C63" s="2481"/>
      <c r="D63" s="976" t="s">
        <v>673</v>
      </c>
      <c r="E63" s="977"/>
      <c r="F63" s="977"/>
      <c r="G63" s="977"/>
      <c r="H63" s="977"/>
      <c r="I63" s="977"/>
      <c r="J63" s="978"/>
      <c r="K63" s="2449">
        <f>K66+K70+K78+K74</f>
        <v>1723.7</v>
      </c>
      <c r="L63" s="2350"/>
      <c r="M63" s="2661">
        <v>2183.6579999999999</v>
      </c>
      <c r="N63" s="2661"/>
      <c r="O63" s="2661"/>
      <c r="P63" s="2661">
        <f>P66+P70+P78</f>
        <v>2913.6940000000004</v>
      </c>
      <c r="Q63" s="2671">
        <v>2859.2967100000001</v>
      </c>
      <c r="R63" s="2534">
        <f>R66+R70+R78+R74</f>
        <v>1933</v>
      </c>
      <c r="S63" s="2535"/>
      <c r="T63" s="2534">
        <f>T66+T70+T78+T74</f>
        <v>1975</v>
      </c>
      <c r="U63" s="2535"/>
      <c r="V63" s="2350">
        <f>V74+V78</f>
        <v>1761.1</v>
      </c>
      <c r="W63" s="2350">
        <f>W74+W78</f>
        <v>1799.9960000000001</v>
      </c>
    </row>
    <row r="64" spans="1:23" ht="15" x14ac:dyDescent="0.3">
      <c r="A64" s="2531"/>
      <c r="B64" s="2532"/>
      <c r="C64" s="2533"/>
      <c r="D64" s="999" t="s">
        <v>674</v>
      </c>
      <c r="E64" s="1000"/>
      <c r="F64" s="1000"/>
      <c r="G64" s="1000"/>
      <c r="H64" s="1000"/>
      <c r="I64" s="1000"/>
      <c r="J64" s="1001"/>
      <c r="K64" s="2450"/>
      <c r="L64" s="2360"/>
      <c r="M64" s="2661"/>
      <c r="N64" s="2661"/>
      <c r="O64" s="2661"/>
      <c r="P64" s="2661"/>
      <c r="Q64" s="2671"/>
      <c r="R64" s="2536"/>
      <c r="S64" s="2537"/>
      <c r="T64" s="2536"/>
      <c r="U64" s="2537"/>
      <c r="V64" s="2360"/>
      <c r="W64" s="2360"/>
    </row>
    <row r="65" spans="1:23" thickBot="1" x14ac:dyDescent="0.35">
      <c r="A65" s="2482"/>
      <c r="B65" s="2483"/>
      <c r="C65" s="2484"/>
      <c r="D65" s="979" t="s">
        <v>675</v>
      </c>
      <c r="E65" s="980"/>
      <c r="F65" s="980"/>
      <c r="G65" s="980"/>
      <c r="H65" s="980"/>
      <c r="I65" s="980"/>
      <c r="J65" s="981"/>
      <c r="K65" s="2451"/>
      <c r="L65" s="2351"/>
      <c r="M65" s="2661"/>
      <c r="N65" s="2661"/>
      <c r="O65" s="2661"/>
      <c r="P65" s="2661"/>
      <c r="Q65" s="2671"/>
      <c r="R65" s="2538"/>
      <c r="S65" s="2539"/>
      <c r="T65" s="2538"/>
      <c r="U65" s="2539"/>
      <c r="V65" s="2351"/>
      <c r="W65" s="2351"/>
    </row>
    <row r="66" spans="1:23" ht="15.65" hidden="1" customHeight="1" x14ac:dyDescent="0.35">
      <c r="A66" s="2467" t="s">
        <v>676</v>
      </c>
      <c r="B66" s="2468"/>
      <c r="C66" s="2353"/>
      <c r="D66" s="982" t="s">
        <v>677</v>
      </c>
      <c r="E66" s="983"/>
      <c r="F66" s="983"/>
      <c r="G66" s="983"/>
      <c r="H66" s="983"/>
      <c r="I66" s="983"/>
      <c r="J66" s="984"/>
      <c r="K66" s="2463"/>
      <c r="L66" s="2361"/>
      <c r="M66" s="2661">
        <v>1030</v>
      </c>
      <c r="N66" s="2661">
        <v>140</v>
      </c>
      <c r="O66" s="2661">
        <v>140</v>
      </c>
      <c r="P66" s="2661">
        <f>M66+N66+O66</f>
        <v>1310</v>
      </c>
      <c r="Q66" s="2671">
        <v>1430.7293099999999</v>
      </c>
      <c r="R66" s="2379"/>
      <c r="S66" s="2380"/>
      <c r="T66" s="2379"/>
      <c r="U66" s="2380"/>
      <c r="V66" s="2361"/>
      <c r="W66" s="2361"/>
    </row>
    <row r="67" spans="1:23" ht="15.65" hidden="1" customHeight="1" x14ac:dyDescent="0.35">
      <c r="A67" s="2492"/>
      <c r="B67" s="2493"/>
      <c r="C67" s="2494"/>
      <c r="D67" s="996" t="s">
        <v>678</v>
      </c>
      <c r="E67" s="997"/>
      <c r="F67" s="997"/>
      <c r="G67" s="997"/>
      <c r="H67" s="997"/>
      <c r="I67" s="997"/>
      <c r="J67" s="998"/>
      <c r="K67" s="2495"/>
      <c r="L67" s="2362"/>
      <c r="M67" s="2661"/>
      <c r="N67" s="2661"/>
      <c r="O67" s="2661"/>
      <c r="P67" s="2661"/>
      <c r="Q67" s="2671"/>
      <c r="R67" s="2381"/>
      <c r="S67" s="2382"/>
      <c r="T67" s="2381"/>
      <c r="U67" s="2382"/>
      <c r="V67" s="2362"/>
      <c r="W67" s="2362"/>
    </row>
    <row r="68" spans="1:23" ht="15.65" hidden="1" customHeight="1" x14ac:dyDescent="0.35">
      <c r="A68" s="2492"/>
      <c r="B68" s="2493"/>
      <c r="C68" s="2494"/>
      <c r="D68" s="996" t="s">
        <v>679</v>
      </c>
      <c r="E68" s="997"/>
      <c r="F68" s="997"/>
      <c r="G68" s="997"/>
      <c r="H68" s="997"/>
      <c r="I68" s="997"/>
      <c r="J68" s="998"/>
      <c r="K68" s="2495"/>
      <c r="L68" s="2362"/>
      <c r="M68" s="2661"/>
      <c r="N68" s="2661"/>
      <c r="O68" s="2661"/>
      <c r="P68" s="2661"/>
      <c r="Q68" s="2671"/>
      <c r="R68" s="2381"/>
      <c r="S68" s="2382"/>
      <c r="T68" s="2381"/>
      <c r="U68" s="2382"/>
      <c r="V68" s="2362"/>
      <c r="W68" s="2362"/>
    </row>
    <row r="69" spans="1:23" ht="15.65" hidden="1" customHeight="1" x14ac:dyDescent="0.35">
      <c r="A69" s="2469"/>
      <c r="B69" s="2470"/>
      <c r="C69" s="2354"/>
      <c r="D69" s="985" t="s">
        <v>680</v>
      </c>
      <c r="E69" s="986"/>
      <c r="F69" s="986"/>
      <c r="G69" s="986"/>
      <c r="H69" s="986"/>
      <c r="I69" s="986"/>
      <c r="J69" s="987"/>
      <c r="K69" s="2464"/>
      <c r="L69" s="2363"/>
      <c r="M69" s="2661"/>
      <c r="N69" s="2661"/>
      <c r="O69" s="2661"/>
      <c r="P69" s="2661"/>
      <c r="Q69" s="2671"/>
      <c r="R69" s="2389"/>
      <c r="S69" s="2390"/>
      <c r="T69" s="2389"/>
      <c r="U69" s="2390"/>
      <c r="V69" s="2363"/>
      <c r="W69" s="2363"/>
    </row>
    <row r="70" spans="1:23" ht="15.65" hidden="1" customHeight="1" x14ac:dyDescent="0.35">
      <c r="A70" s="2467" t="s">
        <v>681</v>
      </c>
      <c r="B70" s="2468"/>
      <c r="C70" s="2353"/>
      <c r="D70" s="982" t="s">
        <v>682</v>
      </c>
      <c r="E70" s="983"/>
      <c r="F70" s="983"/>
      <c r="G70" s="983"/>
      <c r="H70" s="983"/>
      <c r="I70" s="983"/>
      <c r="J70" s="984"/>
      <c r="K70" s="2463"/>
      <c r="L70" s="2361"/>
      <c r="M70" s="2661">
        <v>928.55</v>
      </c>
      <c r="N70" s="2661">
        <v>200</v>
      </c>
      <c r="O70" s="2661">
        <v>200</v>
      </c>
      <c r="P70" s="2661">
        <f>M70+N70+O70</f>
        <v>1328.55</v>
      </c>
      <c r="Q70" s="2671">
        <v>1007.7294000000001</v>
      </c>
      <c r="R70" s="2379"/>
      <c r="S70" s="2380"/>
      <c r="T70" s="2379"/>
      <c r="U70" s="2380"/>
      <c r="V70" s="2361"/>
      <c r="W70" s="2361"/>
    </row>
    <row r="71" spans="1:23" ht="14.25" hidden="1" customHeight="1" x14ac:dyDescent="0.35">
      <c r="A71" s="2492"/>
      <c r="B71" s="2493"/>
      <c r="C71" s="2494"/>
      <c r="D71" s="996" t="s">
        <v>683</v>
      </c>
      <c r="E71" s="997"/>
      <c r="F71" s="997"/>
      <c r="G71" s="997"/>
      <c r="H71" s="997"/>
      <c r="I71" s="997"/>
      <c r="J71" s="998"/>
      <c r="K71" s="2495"/>
      <c r="L71" s="2362"/>
      <c r="M71" s="2661"/>
      <c r="N71" s="2661"/>
      <c r="O71" s="2661"/>
      <c r="P71" s="2661"/>
      <c r="Q71" s="2671"/>
      <c r="R71" s="2381"/>
      <c r="S71" s="2382"/>
      <c r="T71" s="2381"/>
      <c r="U71" s="2382"/>
      <c r="V71" s="2362"/>
      <c r="W71" s="2362"/>
    </row>
    <row r="72" spans="1:23" ht="15.75" hidden="1" customHeight="1" x14ac:dyDescent="0.35">
      <c r="A72" s="2492"/>
      <c r="B72" s="2493"/>
      <c r="C72" s="2494"/>
      <c r="D72" s="996" t="s">
        <v>684</v>
      </c>
      <c r="E72" s="997"/>
      <c r="F72" s="997"/>
      <c r="G72" s="997"/>
      <c r="H72" s="997"/>
      <c r="I72" s="997"/>
      <c r="J72" s="998"/>
      <c r="K72" s="2495"/>
      <c r="L72" s="2362"/>
      <c r="M72" s="2661"/>
      <c r="N72" s="2661"/>
      <c r="O72" s="2661"/>
      <c r="P72" s="2661"/>
      <c r="Q72" s="2671"/>
      <c r="R72" s="2381"/>
      <c r="S72" s="2382"/>
      <c r="T72" s="2381"/>
      <c r="U72" s="2382"/>
      <c r="V72" s="2362"/>
      <c r="W72" s="2362"/>
    </row>
    <row r="73" spans="1:23" ht="15.75" hidden="1" customHeight="1" x14ac:dyDescent="0.35">
      <c r="A73" s="2469"/>
      <c r="B73" s="2470"/>
      <c r="C73" s="2354"/>
      <c r="D73" s="985" t="s">
        <v>685</v>
      </c>
      <c r="E73" s="986"/>
      <c r="F73" s="986"/>
      <c r="G73" s="986"/>
      <c r="H73" s="986"/>
      <c r="I73" s="986"/>
      <c r="J73" s="987"/>
      <c r="K73" s="2464"/>
      <c r="L73" s="2363"/>
      <c r="M73" s="2661"/>
      <c r="N73" s="2661"/>
      <c r="O73" s="2661"/>
      <c r="P73" s="2661"/>
      <c r="Q73" s="2671"/>
      <c r="R73" s="2389"/>
      <c r="S73" s="2390"/>
      <c r="T73" s="2389"/>
      <c r="U73" s="2390"/>
      <c r="V73" s="2363"/>
      <c r="W73" s="2363"/>
    </row>
    <row r="74" spans="1:23" x14ac:dyDescent="0.35">
      <c r="A74" s="2467" t="s">
        <v>686</v>
      </c>
      <c r="B74" s="2468"/>
      <c r="C74" s="2353"/>
      <c r="D74" s="1002"/>
      <c r="E74" s="997"/>
      <c r="F74" s="997"/>
      <c r="G74" s="997"/>
      <c r="H74" s="997"/>
      <c r="I74" s="997"/>
      <c r="J74" s="998"/>
      <c r="K74" s="2463">
        <v>788.7</v>
      </c>
      <c r="L74" s="2361"/>
      <c r="M74" s="2661">
        <v>928.55</v>
      </c>
      <c r="N74" s="2661">
        <v>200</v>
      </c>
      <c r="O74" s="2661">
        <v>200</v>
      </c>
      <c r="P74" s="2661">
        <f>M74+N74+O74</f>
        <v>1328.55</v>
      </c>
      <c r="Q74" s="2671">
        <v>1007.7294000000001</v>
      </c>
      <c r="R74" s="2379">
        <v>1035</v>
      </c>
      <c r="S74" s="2380"/>
      <c r="T74" s="2379">
        <v>1040</v>
      </c>
      <c r="U74" s="2380"/>
      <c r="V74" s="2361">
        <v>788.7</v>
      </c>
      <c r="W74" s="2361">
        <v>788.7</v>
      </c>
    </row>
    <row r="75" spans="1:23" ht="14.25" customHeight="1" x14ac:dyDescent="0.35">
      <c r="A75" s="2492"/>
      <c r="B75" s="2493"/>
      <c r="C75" s="2494"/>
      <c r="D75" s="997" t="s">
        <v>687</v>
      </c>
      <c r="E75" s="997"/>
      <c r="F75" s="997"/>
      <c r="G75" s="997"/>
      <c r="H75" s="997"/>
      <c r="I75" s="997"/>
      <c r="J75" s="998"/>
      <c r="K75" s="2495"/>
      <c r="L75" s="2362"/>
      <c r="M75" s="2661"/>
      <c r="N75" s="2661"/>
      <c r="O75" s="2661"/>
      <c r="P75" s="2661"/>
      <c r="Q75" s="2671"/>
      <c r="R75" s="2381"/>
      <c r="S75" s="2382"/>
      <c r="T75" s="2381"/>
      <c r="U75" s="2382"/>
      <c r="V75" s="2362"/>
      <c r="W75" s="2362"/>
    </row>
    <row r="76" spans="1:23" ht="15.75" customHeight="1" x14ac:dyDescent="0.35">
      <c r="A76" s="2492"/>
      <c r="B76" s="2493"/>
      <c r="C76" s="2494"/>
      <c r="D76" s="997" t="s">
        <v>688</v>
      </c>
      <c r="E76" s="997"/>
      <c r="F76" s="997"/>
      <c r="G76" s="997"/>
      <c r="H76" s="997"/>
      <c r="I76" s="997"/>
      <c r="J76" s="998"/>
      <c r="K76" s="2495"/>
      <c r="L76" s="2362"/>
      <c r="M76" s="2661"/>
      <c r="N76" s="2661"/>
      <c r="O76" s="2661"/>
      <c r="P76" s="2661"/>
      <c r="Q76" s="2671"/>
      <c r="R76" s="2381"/>
      <c r="S76" s="2382"/>
      <c r="T76" s="2381"/>
      <c r="U76" s="2382"/>
      <c r="V76" s="2362"/>
      <c r="W76" s="2362"/>
    </row>
    <row r="77" spans="1:23" ht="15.75" customHeight="1" thickBot="1" x14ac:dyDescent="0.4">
      <c r="A77" s="2469"/>
      <c r="B77" s="2470"/>
      <c r="C77" s="2354"/>
      <c r="D77" s="986"/>
      <c r="E77" s="986"/>
      <c r="F77" s="986"/>
      <c r="G77" s="986"/>
      <c r="H77" s="986"/>
      <c r="I77" s="986"/>
      <c r="J77" s="987"/>
      <c r="K77" s="2464"/>
      <c r="L77" s="2363"/>
      <c r="M77" s="2661"/>
      <c r="N77" s="2661"/>
      <c r="O77" s="2661"/>
      <c r="P77" s="2661"/>
      <c r="Q77" s="2671"/>
      <c r="R77" s="2389"/>
      <c r="S77" s="2390"/>
      <c r="T77" s="2389"/>
      <c r="U77" s="2390"/>
      <c r="V77" s="2363"/>
      <c r="W77" s="2363"/>
    </row>
    <row r="78" spans="1:23" ht="15" customHeight="1" x14ac:dyDescent="0.35">
      <c r="A78" s="2467" t="s">
        <v>689</v>
      </c>
      <c r="B78" s="2468"/>
      <c r="C78" s="2353"/>
      <c r="D78" s="982" t="s">
        <v>690</v>
      </c>
      <c r="E78" s="983"/>
      <c r="F78" s="983"/>
      <c r="G78" s="983"/>
      <c r="H78" s="983"/>
      <c r="I78" s="983"/>
      <c r="J78" s="984"/>
      <c r="K78" s="2463">
        <v>935</v>
      </c>
      <c r="L78" s="2361"/>
      <c r="M78" s="2697">
        <v>225.108</v>
      </c>
      <c r="N78" s="2694">
        <f>24.9+0.118</f>
        <v>25.017999999999997</v>
      </c>
      <c r="O78" s="2694">
        <v>25.018000000000001</v>
      </c>
      <c r="P78" s="2659">
        <f>M78+N78+O78</f>
        <v>275.14400000000001</v>
      </c>
      <c r="Q78" s="2694">
        <v>420.83800000000002</v>
      </c>
      <c r="R78" s="2391">
        <v>898</v>
      </c>
      <c r="S78" s="2392"/>
      <c r="T78" s="2391">
        <v>935</v>
      </c>
      <c r="U78" s="2392"/>
      <c r="V78" s="2361">
        <v>972.4</v>
      </c>
      <c r="W78" s="2361">
        <v>1011.296</v>
      </c>
    </row>
    <row r="79" spans="1:23" ht="13.15" customHeight="1" x14ac:dyDescent="0.35">
      <c r="A79" s="2492"/>
      <c r="B79" s="2493"/>
      <c r="C79" s="2494"/>
      <c r="D79" s="996" t="s">
        <v>691</v>
      </c>
      <c r="E79" s="997"/>
      <c r="F79" s="997"/>
      <c r="G79" s="997"/>
      <c r="H79" s="997"/>
      <c r="I79" s="997"/>
      <c r="J79" s="998"/>
      <c r="K79" s="2495"/>
      <c r="L79" s="2362"/>
      <c r="M79" s="2698"/>
      <c r="N79" s="2695"/>
      <c r="O79" s="2695"/>
      <c r="P79" s="2693"/>
      <c r="Q79" s="2695"/>
      <c r="R79" s="2393"/>
      <c r="S79" s="2394"/>
      <c r="T79" s="2393"/>
      <c r="U79" s="2394"/>
      <c r="V79" s="2362"/>
      <c r="W79" s="2362"/>
    </row>
    <row r="80" spans="1:23" ht="13.15" customHeight="1" x14ac:dyDescent="0.35">
      <c r="A80" s="2492"/>
      <c r="B80" s="2493"/>
      <c r="C80" s="2494"/>
      <c r="D80" s="996" t="s">
        <v>692</v>
      </c>
      <c r="E80" s="997"/>
      <c r="F80" s="997"/>
      <c r="G80" s="997"/>
      <c r="H80" s="997"/>
      <c r="I80" s="997"/>
      <c r="J80" s="998"/>
      <c r="K80" s="2495"/>
      <c r="L80" s="2362"/>
      <c r="M80" s="2698"/>
      <c r="N80" s="2695"/>
      <c r="O80" s="2695"/>
      <c r="P80" s="2693"/>
      <c r="Q80" s="2695"/>
      <c r="R80" s="2393"/>
      <c r="S80" s="2394"/>
      <c r="T80" s="2393"/>
      <c r="U80" s="2394"/>
      <c r="V80" s="2362"/>
      <c r="W80" s="2362"/>
    </row>
    <row r="81" spans="1:23" ht="12.75" customHeight="1" thickBot="1" x14ac:dyDescent="0.4">
      <c r="A81" s="2469"/>
      <c r="B81" s="2470"/>
      <c r="C81" s="2354"/>
      <c r="D81" s="985" t="s">
        <v>693</v>
      </c>
      <c r="E81" s="986"/>
      <c r="F81" s="986"/>
      <c r="G81" s="986"/>
      <c r="H81" s="986"/>
      <c r="I81" s="986"/>
      <c r="J81" s="987"/>
      <c r="K81" s="2464"/>
      <c r="L81" s="2363"/>
      <c r="M81" s="2699"/>
      <c r="N81" s="2696"/>
      <c r="O81" s="2696"/>
      <c r="P81" s="2678"/>
      <c r="Q81" s="2696"/>
      <c r="R81" s="2395"/>
      <c r="S81" s="2396"/>
      <c r="T81" s="2395"/>
      <c r="U81" s="2396"/>
      <c r="V81" s="2363"/>
      <c r="W81" s="2363"/>
    </row>
    <row r="82" spans="1:23" ht="15" x14ac:dyDescent="0.3">
      <c r="A82" s="2479" t="s">
        <v>694</v>
      </c>
      <c r="B82" s="2480"/>
      <c r="C82" s="2481"/>
      <c r="D82" s="976" t="s">
        <v>887</v>
      </c>
      <c r="E82" s="977"/>
      <c r="F82" s="977"/>
      <c r="G82" s="977"/>
      <c r="H82" s="977"/>
      <c r="I82" s="977"/>
      <c r="J82" s="978"/>
      <c r="K82" s="2449">
        <f>K84+K87</f>
        <v>562.07399999999996</v>
      </c>
      <c r="L82" s="2350"/>
      <c r="M82" s="2661">
        <v>97</v>
      </c>
      <c r="N82" s="2661"/>
      <c r="O82" s="2661"/>
      <c r="P82" s="2661">
        <f>P84+P87</f>
        <v>125</v>
      </c>
      <c r="Q82" s="2671">
        <v>435.29176000000001</v>
      </c>
      <c r="R82" s="2385">
        <f>R84+R87</f>
        <v>10.6</v>
      </c>
      <c r="S82" s="2386"/>
      <c r="T82" s="2385">
        <f>T84+T87</f>
        <v>11.1</v>
      </c>
      <c r="U82" s="2386"/>
      <c r="V82" s="2350">
        <f>V87</f>
        <v>50</v>
      </c>
      <c r="W82" s="2350">
        <f>W87</f>
        <v>50</v>
      </c>
    </row>
    <row r="83" spans="1:23" thickBot="1" x14ac:dyDescent="0.35">
      <c r="A83" s="2482"/>
      <c r="B83" s="2483"/>
      <c r="C83" s="2484"/>
      <c r="D83" s="979" t="s">
        <v>695</v>
      </c>
      <c r="E83" s="980"/>
      <c r="F83" s="980"/>
      <c r="G83" s="980"/>
      <c r="H83" s="980"/>
      <c r="I83" s="980"/>
      <c r="J83" s="981"/>
      <c r="K83" s="2451"/>
      <c r="L83" s="2351"/>
      <c r="M83" s="2661"/>
      <c r="N83" s="2661"/>
      <c r="O83" s="2661"/>
      <c r="P83" s="2661"/>
      <c r="Q83" s="2671"/>
      <c r="R83" s="2387"/>
      <c r="S83" s="2388"/>
      <c r="T83" s="2387"/>
      <c r="U83" s="2388"/>
      <c r="V83" s="2351"/>
      <c r="W83" s="2351"/>
    </row>
    <row r="84" spans="1:23" ht="15" hidden="1" customHeight="1" x14ac:dyDescent="0.35">
      <c r="A84" s="2467" t="s">
        <v>696</v>
      </c>
      <c r="B84" s="2468"/>
      <c r="C84" s="2353"/>
      <c r="D84" s="982" t="s">
        <v>697</v>
      </c>
      <c r="E84" s="983"/>
      <c r="F84" s="983"/>
      <c r="G84" s="983"/>
      <c r="H84" s="983"/>
      <c r="I84" s="983"/>
      <c r="J84" s="984"/>
      <c r="K84" s="2463"/>
      <c r="L84" s="2688"/>
      <c r="M84" s="2661">
        <v>69</v>
      </c>
      <c r="N84" s="2661">
        <v>7</v>
      </c>
      <c r="O84" s="2661">
        <v>7</v>
      </c>
      <c r="P84" s="2661">
        <f>M84+N84+O84</f>
        <v>83</v>
      </c>
      <c r="Q84" s="2661">
        <v>0.5</v>
      </c>
      <c r="R84" s="2379"/>
      <c r="S84" s="2683"/>
      <c r="T84" s="2379"/>
      <c r="U84" s="2683"/>
      <c r="V84" s="2688"/>
      <c r="W84" s="2688"/>
    </row>
    <row r="85" spans="1:23" ht="15" hidden="1" customHeight="1" x14ac:dyDescent="0.35">
      <c r="A85" s="2492"/>
      <c r="B85" s="2493"/>
      <c r="C85" s="2494"/>
      <c r="D85" s="996" t="s">
        <v>698</v>
      </c>
      <c r="E85" s="997"/>
      <c r="F85" s="997"/>
      <c r="G85" s="997"/>
      <c r="H85" s="997"/>
      <c r="I85" s="997"/>
      <c r="J85" s="998"/>
      <c r="K85" s="2691"/>
      <c r="L85" s="2689"/>
      <c r="M85" s="2661"/>
      <c r="N85" s="2661"/>
      <c r="O85" s="2661"/>
      <c r="P85" s="2661"/>
      <c r="Q85" s="2661"/>
      <c r="R85" s="2684"/>
      <c r="S85" s="2685"/>
      <c r="T85" s="2684"/>
      <c r="U85" s="2685"/>
      <c r="V85" s="2689"/>
      <c r="W85" s="2689"/>
    </row>
    <row r="86" spans="1:23" ht="7.15" hidden="1" customHeight="1" x14ac:dyDescent="0.35">
      <c r="A86" s="2514"/>
      <c r="B86" s="2515"/>
      <c r="C86" s="2516"/>
      <c r="D86" s="1003"/>
      <c r="E86" s="1004"/>
      <c r="F86" s="1004"/>
      <c r="G86" s="1004"/>
      <c r="H86" s="1004"/>
      <c r="I86" s="1004"/>
      <c r="J86" s="1005"/>
      <c r="K86" s="2692"/>
      <c r="L86" s="2690"/>
      <c r="M86" s="2661"/>
      <c r="N86" s="2661"/>
      <c r="O86" s="2661"/>
      <c r="P86" s="2661"/>
      <c r="Q86" s="2661"/>
      <c r="R86" s="2686"/>
      <c r="S86" s="2687"/>
      <c r="T86" s="2686"/>
      <c r="U86" s="2687"/>
      <c r="V86" s="2690"/>
      <c r="W86" s="2690"/>
    </row>
    <row r="87" spans="1:23" ht="16" thickBot="1" x14ac:dyDescent="0.4">
      <c r="A87" s="2507" t="s">
        <v>699</v>
      </c>
      <c r="B87" s="2508"/>
      <c r="C87" s="2509"/>
      <c r="D87" s="996" t="s">
        <v>700</v>
      </c>
      <c r="E87" s="997"/>
      <c r="F87" s="997"/>
      <c r="G87" s="997"/>
      <c r="H87" s="997"/>
      <c r="I87" s="997"/>
      <c r="J87" s="998"/>
      <c r="K87" s="2510">
        <f>537.074+25</f>
        <v>562.07399999999996</v>
      </c>
      <c r="L87" s="2680"/>
      <c r="M87" s="2275">
        <v>28</v>
      </c>
      <c r="N87" s="2275">
        <v>7</v>
      </c>
      <c r="O87" s="2275">
        <v>7</v>
      </c>
      <c r="P87" s="2275">
        <f>M87+N87+O87</f>
        <v>42</v>
      </c>
      <c r="Q87" s="2277">
        <v>434.79176000000001</v>
      </c>
      <c r="R87" s="2512">
        <v>10.6</v>
      </c>
      <c r="S87" s="2681"/>
      <c r="T87" s="2512">
        <v>11.1</v>
      </c>
      <c r="U87" s="2681"/>
      <c r="V87" s="2278">
        <f>25+25</f>
        <v>50</v>
      </c>
      <c r="W87" s="2278">
        <f>25+25</f>
        <v>50</v>
      </c>
    </row>
    <row r="88" spans="1:23" hidden="1" thickBot="1" x14ac:dyDescent="0.35">
      <c r="A88" s="2479" t="s">
        <v>701</v>
      </c>
      <c r="B88" s="2480"/>
      <c r="C88" s="2481"/>
      <c r="D88" s="976" t="s">
        <v>702</v>
      </c>
      <c r="E88" s="977"/>
      <c r="F88" s="977"/>
      <c r="G88" s="977"/>
      <c r="H88" s="977"/>
      <c r="I88" s="977"/>
      <c r="J88" s="978"/>
      <c r="K88" s="2449">
        <f>K91+K96+K90</f>
        <v>0</v>
      </c>
      <c r="L88" s="2350"/>
      <c r="M88" s="2661">
        <v>530</v>
      </c>
      <c r="N88" s="2661"/>
      <c r="O88" s="2661"/>
      <c r="P88" s="2661">
        <f>P90+P91+P96</f>
        <v>590</v>
      </c>
      <c r="Q88" s="2671">
        <v>375.10428000000002</v>
      </c>
      <c r="R88" s="2385">
        <f>R91+R96+R90</f>
        <v>1540</v>
      </c>
      <c r="S88" s="2386"/>
      <c r="T88" s="2385">
        <f>T91+T96+T90</f>
        <v>755</v>
      </c>
      <c r="U88" s="2386"/>
      <c r="V88" s="2350">
        <f>V91</f>
        <v>0</v>
      </c>
      <c r="W88" s="2350">
        <f>W91</f>
        <v>0</v>
      </c>
    </row>
    <row r="89" spans="1:23" hidden="1" thickBot="1" x14ac:dyDescent="0.35">
      <c r="A89" s="2482"/>
      <c r="B89" s="2483"/>
      <c r="C89" s="2484"/>
      <c r="D89" s="979" t="s">
        <v>703</v>
      </c>
      <c r="E89" s="980"/>
      <c r="F89" s="980"/>
      <c r="G89" s="980"/>
      <c r="H89" s="980"/>
      <c r="I89" s="980"/>
      <c r="J89" s="981"/>
      <c r="K89" s="2451"/>
      <c r="L89" s="2351"/>
      <c r="M89" s="2659"/>
      <c r="N89" s="2659"/>
      <c r="O89" s="2659"/>
      <c r="P89" s="2659"/>
      <c r="Q89" s="2682"/>
      <c r="R89" s="2387"/>
      <c r="S89" s="2388"/>
      <c r="T89" s="2387"/>
      <c r="U89" s="2388"/>
      <c r="V89" s="2351"/>
      <c r="W89" s="2351"/>
    </row>
    <row r="90" spans="1:23" ht="15.65" hidden="1" customHeight="1" x14ac:dyDescent="0.35">
      <c r="A90" s="2500" t="s">
        <v>704</v>
      </c>
      <c r="B90" s="2501"/>
      <c r="C90" s="2502"/>
      <c r="D90" s="1006" t="s">
        <v>705</v>
      </c>
      <c r="E90" s="1007"/>
      <c r="F90" s="1007"/>
      <c r="G90" s="1007"/>
      <c r="H90" s="1007"/>
      <c r="I90" s="1007"/>
      <c r="J90" s="1008"/>
      <c r="K90" s="2503"/>
      <c r="L90" s="2504"/>
      <c r="M90" s="2279"/>
      <c r="N90" s="2280"/>
      <c r="O90" s="2280"/>
      <c r="P90" s="2280"/>
      <c r="Q90" s="2281">
        <v>62.085000000000001</v>
      </c>
      <c r="R90" s="2505"/>
      <c r="S90" s="2506"/>
      <c r="T90" s="2505"/>
      <c r="U90" s="2506"/>
      <c r="V90" s="2262"/>
      <c r="W90" s="2262"/>
    </row>
    <row r="91" spans="1:23" ht="16" hidden="1" thickBot="1" x14ac:dyDescent="0.4">
      <c r="A91" s="2496" t="s">
        <v>706</v>
      </c>
      <c r="B91" s="2497"/>
      <c r="C91" s="2498"/>
      <c r="D91" s="996" t="s">
        <v>707</v>
      </c>
      <c r="E91" s="997"/>
      <c r="F91" s="997"/>
      <c r="G91" s="997"/>
      <c r="H91" s="997"/>
      <c r="I91" s="997"/>
      <c r="J91" s="998"/>
      <c r="K91" s="2499"/>
      <c r="L91" s="2367"/>
      <c r="M91" s="2678">
        <v>190</v>
      </c>
      <c r="N91" s="2678">
        <v>30</v>
      </c>
      <c r="O91" s="2678">
        <v>30</v>
      </c>
      <c r="P91" s="2678">
        <f>M91+N91+O91</f>
        <v>250</v>
      </c>
      <c r="Q91" s="2679">
        <v>243.4375</v>
      </c>
      <c r="R91" s="2381">
        <v>1540</v>
      </c>
      <c r="S91" s="2382"/>
      <c r="T91" s="2381">
        <v>755</v>
      </c>
      <c r="U91" s="2382"/>
      <c r="V91" s="2367">
        <v>0</v>
      </c>
      <c r="W91" s="2367">
        <v>0</v>
      </c>
    </row>
    <row r="92" spans="1:23" ht="16" hidden="1" thickBot="1" x14ac:dyDescent="0.4">
      <c r="A92" s="2492"/>
      <c r="B92" s="2493"/>
      <c r="C92" s="2494"/>
      <c r="D92" s="996" t="s">
        <v>708</v>
      </c>
      <c r="E92" s="997"/>
      <c r="F92" s="997"/>
      <c r="G92" s="997"/>
      <c r="H92" s="997"/>
      <c r="I92" s="997"/>
      <c r="J92" s="998"/>
      <c r="K92" s="2495"/>
      <c r="L92" s="2362"/>
      <c r="M92" s="2661"/>
      <c r="N92" s="2661"/>
      <c r="O92" s="2661"/>
      <c r="P92" s="2661"/>
      <c r="Q92" s="2671"/>
      <c r="R92" s="2381"/>
      <c r="S92" s="2382"/>
      <c r="T92" s="2381"/>
      <c r="U92" s="2382"/>
      <c r="V92" s="2362"/>
      <c r="W92" s="2362"/>
    </row>
    <row r="93" spans="1:23" ht="16" hidden="1" thickBot="1" x14ac:dyDescent="0.4">
      <c r="A93" s="2492"/>
      <c r="B93" s="2493"/>
      <c r="C93" s="2494"/>
      <c r="D93" s="996" t="s">
        <v>709</v>
      </c>
      <c r="E93" s="997"/>
      <c r="F93" s="997"/>
      <c r="G93" s="997"/>
      <c r="H93" s="997"/>
      <c r="I93" s="997"/>
      <c r="J93" s="998"/>
      <c r="K93" s="2495"/>
      <c r="L93" s="2362"/>
      <c r="M93" s="2661"/>
      <c r="N93" s="2661"/>
      <c r="O93" s="2661"/>
      <c r="P93" s="2661"/>
      <c r="Q93" s="2671"/>
      <c r="R93" s="2381"/>
      <c r="S93" s="2382"/>
      <c r="T93" s="2381"/>
      <c r="U93" s="2382"/>
      <c r="V93" s="2362"/>
      <c r="W93" s="2362"/>
    </row>
    <row r="94" spans="1:23" ht="16" hidden="1" thickBot="1" x14ac:dyDescent="0.4">
      <c r="A94" s="2492"/>
      <c r="B94" s="2493"/>
      <c r="C94" s="2494"/>
      <c r="D94" s="996" t="s">
        <v>710</v>
      </c>
      <c r="E94" s="997"/>
      <c r="F94" s="997"/>
      <c r="G94" s="997"/>
      <c r="H94" s="997"/>
      <c r="I94" s="997"/>
      <c r="J94" s="998"/>
      <c r="K94" s="2495"/>
      <c r="L94" s="2362"/>
      <c r="M94" s="2661"/>
      <c r="N94" s="2661"/>
      <c r="O94" s="2661"/>
      <c r="P94" s="2661"/>
      <c r="Q94" s="2671"/>
      <c r="R94" s="2381"/>
      <c r="S94" s="2382"/>
      <c r="T94" s="2381"/>
      <c r="U94" s="2382"/>
      <c r="V94" s="2362"/>
      <c r="W94" s="2362"/>
    </row>
    <row r="95" spans="1:23" ht="16" hidden="1" thickBot="1" x14ac:dyDescent="0.4">
      <c r="A95" s="2469"/>
      <c r="B95" s="2470"/>
      <c r="C95" s="2354"/>
      <c r="D95" s="985" t="s">
        <v>711</v>
      </c>
      <c r="E95" s="986"/>
      <c r="F95" s="986"/>
      <c r="G95" s="986"/>
      <c r="H95" s="986"/>
      <c r="I95" s="986"/>
      <c r="J95" s="987"/>
      <c r="K95" s="2464"/>
      <c r="L95" s="2363"/>
      <c r="M95" s="2661"/>
      <c r="N95" s="2661"/>
      <c r="O95" s="2661"/>
      <c r="P95" s="2661"/>
      <c r="Q95" s="2671"/>
      <c r="R95" s="2389"/>
      <c r="S95" s="2390"/>
      <c r="T95" s="2389"/>
      <c r="U95" s="2390"/>
      <c r="V95" s="2363"/>
      <c r="W95" s="2363"/>
    </row>
    <row r="96" spans="1:23" ht="15.65" hidden="1" customHeight="1" x14ac:dyDescent="0.35">
      <c r="A96" s="2467" t="s">
        <v>712</v>
      </c>
      <c r="B96" s="2468"/>
      <c r="C96" s="2353"/>
      <c r="D96" s="996" t="s">
        <v>713</v>
      </c>
      <c r="E96" s="997"/>
      <c r="F96" s="997"/>
      <c r="G96" s="997"/>
      <c r="H96" s="997"/>
      <c r="I96" s="997"/>
      <c r="J96" s="998"/>
      <c r="K96" s="2463"/>
      <c r="L96" s="2361"/>
      <c r="M96" s="2661">
        <v>340</v>
      </c>
      <c r="N96" s="2661"/>
      <c r="O96" s="2661"/>
      <c r="P96" s="2661">
        <f>M96+N96+O96</f>
        <v>340</v>
      </c>
      <c r="Q96" s="2671">
        <v>69.581779999999995</v>
      </c>
      <c r="R96" s="2379"/>
      <c r="S96" s="2380"/>
      <c r="T96" s="2379"/>
      <c r="U96" s="2380"/>
      <c r="V96" s="2361"/>
      <c r="W96" s="2361"/>
    </row>
    <row r="97" spans="1:29" ht="15.65" hidden="1" customHeight="1" x14ac:dyDescent="0.35">
      <c r="A97" s="2492"/>
      <c r="B97" s="2493"/>
      <c r="C97" s="2494"/>
      <c r="D97" s="996" t="s">
        <v>714</v>
      </c>
      <c r="E97" s="997"/>
      <c r="F97" s="997"/>
      <c r="G97" s="997"/>
      <c r="H97" s="997"/>
      <c r="I97" s="997"/>
      <c r="J97" s="998"/>
      <c r="K97" s="2495"/>
      <c r="L97" s="2362"/>
      <c r="M97" s="2661"/>
      <c r="N97" s="2661"/>
      <c r="O97" s="2661"/>
      <c r="P97" s="2661"/>
      <c r="Q97" s="2671"/>
      <c r="R97" s="2381"/>
      <c r="S97" s="2382"/>
      <c r="T97" s="2381"/>
      <c r="U97" s="2382"/>
      <c r="V97" s="2362"/>
      <c r="W97" s="2362"/>
    </row>
    <row r="98" spans="1:29" ht="15.65" hidden="1" customHeight="1" x14ac:dyDescent="0.35">
      <c r="A98" s="2492"/>
      <c r="B98" s="2493"/>
      <c r="C98" s="2494"/>
      <c r="D98" s="996" t="s">
        <v>715</v>
      </c>
      <c r="E98" s="997"/>
      <c r="F98" s="997"/>
      <c r="G98" s="997"/>
      <c r="H98" s="997"/>
      <c r="I98" s="997"/>
      <c r="J98" s="998"/>
      <c r="K98" s="2495"/>
      <c r="L98" s="2362"/>
      <c r="M98" s="2661"/>
      <c r="N98" s="2661"/>
      <c r="O98" s="2661"/>
      <c r="P98" s="2661"/>
      <c r="Q98" s="2671"/>
      <c r="R98" s="2381"/>
      <c r="S98" s="2382"/>
      <c r="T98" s="2381"/>
      <c r="U98" s="2382"/>
      <c r="V98" s="2362"/>
      <c r="W98" s="2362"/>
    </row>
    <row r="99" spans="1:29" ht="15.75" hidden="1" customHeight="1" x14ac:dyDescent="0.35">
      <c r="A99" s="996"/>
      <c r="B99" s="997"/>
      <c r="C99" s="998"/>
      <c r="D99" s="996"/>
      <c r="E99" s="997"/>
      <c r="F99" s="997"/>
      <c r="G99" s="997"/>
      <c r="H99" s="997"/>
      <c r="I99" s="997"/>
      <c r="J99" s="998"/>
      <c r="K99" s="2464"/>
      <c r="L99" s="2363"/>
      <c r="M99" s="2275"/>
      <c r="N99" s="2275"/>
      <c r="O99" s="2275"/>
      <c r="P99" s="2275"/>
      <c r="Q99" s="2268"/>
      <c r="R99" s="2381"/>
      <c r="S99" s="2382"/>
      <c r="T99" s="2381"/>
      <c r="U99" s="2382"/>
      <c r="V99" s="2363"/>
      <c r="W99" s="2363"/>
    </row>
    <row r="100" spans="1:29" ht="15.75" customHeight="1" x14ac:dyDescent="0.35">
      <c r="A100" s="2479" t="s">
        <v>716</v>
      </c>
      <c r="B100" s="2480"/>
      <c r="C100" s="2481"/>
      <c r="D100" s="2485" t="s">
        <v>717</v>
      </c>
      <c r="E100" s="2486"/>
      <c r="F100" s="2486"/>
      <c r="G100" s="2486"/>
      <c r="H100" s="2486"/>
      <c r="I100" s="2486"/>
      <c r="J100" s="2487"/>
      <c r="K100" s="2449">
        <f>K102</f>
        <v>20</v>
      </c>
      <c r="L100" s="2350"/>
      <c r="M100" s="2275"/>
      <c r="N100" s="2275"/>
      <c r="O100" s="2275"/>
      <c r="P100" s="2275"/>
      <c r="Q100" s="2268"/>
      <c r="R100" s="2385">
        <f>R102</f>
        <v>10</v>
      </c>
      <c r="S100" s="2386"/>
      <c r="T100" s="2385">
        <f>T102</f>
        <v>11</v>
      </c>
      <c r="U100" s="2386"/>
      <c r="V100" s="2350">
        <f>V102</f>
        <v>20</v>
      </c>
      <c r="W100" s="2350">
        <f>W102</f>
        <v>20</v>
      </c>
    </row>
    <row r="101" spans="1:29" ht="15.75" customHeight="1" thickBot="1" x14ac:dyDescent="0.4">
      <c r="A101" s="2482"/>
      <c r="B101" s="2483"/>
      <c r="C101" s="2484"/>
      <c r="D101" s="2488"/>
      <c r="E101" s="2489"/>
      <c r="F101" s="2489"/>
      <c r="G101" s="2489"/>
      <c r="H101" s="2489"/>
      <c r="I101" s="2489"/>
      <c r="J101" s="2490"/>
      <c r="K101" s="2451"/>
      <c r="L101" s="2351"/>
      <c r="M101" s="2275"/>
      <c r="N101" s="2275"/>
      <c r="O101" s="2275"/>
      <c r="P101" s="2275"/>
      <c r="Q101" s="2268"/>
      <c r="R101" s="2477"/>
      <c r="S101" s="2478"/>
      <c r="T101" s="2477"/>
      <c r="U101" s="2478"/>
      <c r="V101" s="2351"/>
      <c r="W101" s="2351"/>
    </row>
    <row r="102" spans="1:29" ht="15.75" customHeight="1" x14ac:dyDescent="0.35">
      <c r="A102" s="2467" t="s">
        <v>1107</v>
      </c>
      <c r="B102" s="2468"/>
      <c r="C102" s="2353"/>
      <c r="D102" s="2471" t="s">
        <v>999</v>
      </c>
      <c r="E102" s="2472"/>
      <c r="F102" s="2472"/>
      <c r="G102" s="2472"/>
      <c r="H102" s="2472"/>
      <c r="I102" s="2472"/>
      <c r="J102" s="2473"/>
      <c r="K102" s="2463">
        <v>20</v>
      </c>
      <c r="L102" s="2361"/>
      <c r="M102" s="2275"/>
      <c r="N102" s="2275"/>
      <c r="O102" s="2275"/>
      <c r="P102" s="2275"/>
      <c r="Q102" s="2268"/>
      <c r="R102" s="2379">
        <v>10</v>
      </c>
      <c r="S102" s="2380"/>
      <c r="T102" s="2379">
        <v>11</v>
      </c>
      <c r="U102" s="2380"/>
      <c r="V102" s="2361">
        <v>20</v>
      </c>
      <c r="W102" s="2361">
        <v>20</v>
      </c>
    </row>
    <row r="103" spans="1:29" ht="27" customHeight="1" thickBot="1" x14ac:dyDescent="0.4">
      <c r="A103" s="2469"/>
      <c r="B103" s="2470"/>
      <c r="C103" s="2354"/>
      <c r="D103" s="2474"/>
      <c r="E103" s="2475"/>
      <c r="F103" s="2475"/>
      <c r="G103" s="2475"/>
      <c r="H103" s="2475"/>
      <c r="I103" s="2475"/>
      <c r="J103" s="2476"/>
      <c r="K103" s="2464"/>
      <c r="L103" s="2363"/>
      <c r="M103" s="2275"/>
      <c r="N103" s="2275"/>
      <c r="O103" s="2275"/>
      <c r="P103" s="2275"/>
      <c r="Q103" s="2268"/>
      <c r="R103" s="2465"/>
      <c r="S103" s="2466"/>
      <c r="T103" s="2465"/>
      <c r="U103" s="2466"/>
      <c r="V103" s="2363"/>
      <c r="W103" s="2363"/>
    </row>
    <row r="104" spans="1:29" ht="15" hidden="1" x14ac:dyDescent="0.3">
      <c r="A104" s="2407" t="s">
        <v>720</v>
      </c>
      <c r="B104" s="2408"/>
      <c r="C104" s="2409"/>
      <c r="D104" s="976"/>
      <c r="E104" s="977"/>
      <c r="F104" s="977"/>
      <c r="G104" s="977"/>
      <c r="H104" s="977"/>
      <c r="I104" s="977"/>
      <c r="J104" s="978"/>
      <c r="K104" s="2449">
        <f>K106</f>
        <v>0</v>
      </c>
      <c r="L104" s="2350"/>
      <c r="M104" s="2661">
        <v>90</v>
      </c>
      <c r="N104" s="2661"/>
      <c r="O104" s="2661"/>
      <c r="P104" s="2661">
        <f>P106</f>
        <v>0</v>
      </c>
      <c r="Q104" s="2671">
        <v>129.83756</v>
      </c>
      <c r="R104" s="2385">
        <f>R106</f>
        <v>0</v>
      </c>
      <c r="S104" s="2386"/>
      <c r="T104" s="2385">
        <f>T106</f>
        <v>0</v>
      </c>
      <c r="U104" s="2386"/>
      <c r="V104" s="2350">
        <f>V106</f>
        <v>0</v>
      </c>
      <c r="W104" s="2350">
        <f>W106</f>
        <v>0</v>
      </c>
    </row>
    <row r="105" spans="1:29" hidden="1" thickBot="1" x14ac:dyDescent="0.35">
      <c r="A105" s="2410"/>
      <c r="B105" s="2411"/>
      <c r="C105" s="2412"/>
      <c r="D105" s="1009" t="s">
        <v>721</v>
      </c>
      <c r="E105" s="1010"/>
      <c r="F105" s="1010"/>
      <c r="G105" s="1010"/>
      <c r="H105" s="1010"/>
      <c r="I105" s="1010"/>
      <c r="J105" s="1011"/>
      <c r="K105" s="2451"/>
      <c r="L105" s="2351"/>
      <c r="M105" s="2661"/>
      <c r="N105" s="2661"/>
      <c r="O105" s="2661"/>
      <c r="P105" s="2661"/>
      <c r="Q105" s="2671"/>
      <c r="R105" s="2477"/>
      <c r="S105" s="2478"/>
      <c r="T105" s="2477"/>
      <c r="U105" s="2478"/>
      <c r="V105" s="2351"/>
      <c r="W105" s="2351"/>
    </row>
    <row r="106" spans="1:29" ht="15" hidden="1" customHeight="1" x14ac:dyDescent="0.3">
      <c r="A106" s="2457" t="s">
        <v>722</v>
      </c>
      <c r="B106" s="2458"/>
      <c r="C106" s="2459"/>
      <c r="D106" s="976"/>
      <c r="E106" s="977"/>
      <c r="F106" s="977"/>
      <c r="G106" s="977"/>
      <c r="H106" s="977"/>
      <c r="I106" s="977"/>
      <c r="J106" s="978"/>
      <c r="K106" s="2463"/>
      <c r="L106" s="2361"/>
      <c r="M106" s="2661"/>
      <c r="N106" s="2661"/>
      <c r="O106" s="2661"/>
      <c r="P106" s="2661"/>
      <c r="Q106" s="2671"/>
      <c r="R106" s="2379"/>
      <c r="S106" s="2380"/>
      <c r="T106" s="2379"/>
      <c r="U106" s="2380"/>
      <c r="V106" s="2361"/>
      <c r="W106" s="2361"/>
    </row>
    <row r="107" spans="1:29" ht="16" hidden="1" thickBot="1" x14ac:dyDescent="0.4">
      <c r="A107" s="2460"/>
      <c r="B107" s="2461"/>
      <c r="C107" s="2462"/>
      <c r="D107" s="1003" t="s">
        <v>723</v>
      </c>
      <c r="E107" s="1010"/>
      <c r="F107" s="1010"/>
      <c r="G107" s="1010"/>
      <c r="H107" s="1010"/>
      <c r="I107" s="1010"/>
      <c r="J107" s="1011"/>
      <c r="K107" s="2464"/>
      <c r="L107" s="2363"/>
      <c r="M107" s="2661"/>
      <c r="N107" s="2661"/>
      <c r="O107" s="2661"/>
      <c r="P107" s="2661"/>
      <c r="Q107" s="2671"/>
      <c r="R107" s="2465"/>
      <c r="S107" s="2466"/>
      <c r="T107" s="2465"/>
      <c r="U107" s="2466"/>
      <c r="V107" s="2362"/>
      <c r="W107" s="2363"/>
    </row>
    <row r="108" spans="1:29" ht="15" x14ac:dyDescent="0.3">
      <c r="A108" s="2407" t="s">
        <v>724</v>
      </c>
      <c r="B108" s="2408"/>
      <c r="C108" s="2409"/>
      <c r="D108" s="976"/>
      <c r="E108" s="977"/>
      <c r="F108" s="977"/>
      <c r="G108" s="977"/>
      <c r="H108" s="977"/>
      <c r="I108" s="977"/>
      <c r="J108" s="978"/>
      <c r="K108" s="2449">
        <f>K111+K113+K115+K116+K117+K118+K120+K121+K122+K124+K119+K114+K123</f>
        <v>31933.08</v>
      </c>
      <c r="L108" s="2350"/>
      <c r="M108" s="2661">
        <v>8484.0619999999999</v>
      </c>
      <c r="N108" s="2661"/>
      <c r="O108" s="2661"/>
      <c r="P108" s="2661">
        <f>P111+P120+P121+P122+P124</f>
        <v>8524.0619999999999</v>
      </c>
      <c r="Q108" s="2671">
        <v>3580.9459499999998</v>
      </c>
      <c r="R108" s="2373">
        <f>R111+R120+R121+R122+R124+R112+S115+R123+R118+R116</f>
        <v>810.5</v>
      </c>
      <c r="S108" s="2374"/>
      <c r="T108" s="2373">
        <f>T111+T120+T121+T122+T124+T112+U115+T123+T118+T116</f>
        <v>818.5</v>
      </c>
      <c r="U108" s="2672"/>
      <c r="V108" s="2675">
        <f>V111+V113+V115+V120+V121+V124+V112+V123</f>
        <v>21149.100000000002</v>
      </c>
      <c r="W108" s="2350">
        <f>W111+W113+W115+W120+W121+W124+W123</f>
        <v>20271.7</v>
      </c>
    </row>
    <row r="109" spans="1:29" ht="15" x14ac:dyDescent="0.3">
      <c r="A109" s="2446"/>
      <c r="B109" s="2447"/>
      <c r="C109" s="2448"/>
      <c r="D109" s="999" t="s">
        <v>725</v>
      </c>
      <c r="E109" s="1000"/>
      <c r="F109" s="1000"/>
      <c r="G109" s="1000"/>
      <c r="H109" s="1000"/>
      <c r="I109" s="1000"/>
      <c r="J109" s="1001"/>
      <c r="K109" s="2450"/>
      <c r="L109" s="2360"/>
      <c r="M109" s="2661"/>
      <c r="N109" s="2661"/>
      <c r="O109" s="2661"/>
      <c r="P109" s="2661"/>
      <c r="Q109" s="2671"/>
      <c r="R109" s="2442"/>
      <c r="S109" s="2443"/>
      <c r="T109" s="2442"/>
      <c r="U109" s="2673"/>
      <c r="V109" s="2676"/>
      <c r="W109" s="2360"/>
    </row>
    <row r="110" spans="1:29" ht="0.75" customHeight="1" thickBot="1" x14ac:dyDescent="0.4">
      <c r="A110" s="979"/>
      <c r="B110" s="980"/>
      <c r="C110" s="981"/>
      <c r="D110" s="979"/>
      <c r="E110" s="980"/>
      <c r="F110" s="980"/>
      <c r="G110" s="980"/>
      <c r="H110" s="980"/>
      <c r="I110" s="980"/>
      <c r="J110" s="981"/>
      <c r="K110" s="2451"/>
      <c r="L110" s="2351"/>
      <c r="M110" s="2275"/>
      <c r="N110" s="2275"/>
      <c r="O110" s="2275"/>
      <c r="P110" s="2275"/>
      <c r="Q110" s="2268"/>
      <c r="R110" s="2375"/>
      <c r="S110" s="2376"/>
      <c r="T110" s="2375"/>
      <c r="U110" s="2674"/>
      <c r="V110" s="2677"/>
      <c r="W110" s="2351"/>
    </row>
    <row r="111" spans="1:29" ht="34.5" customHeight="1" thickBot="1" x14ac:dyDescent="0.4">
      <c r="A111" s="2397" t="s">
        <v>976</v>
      </c>
      <c r="B111" s="2398"/>
      <c r="C111" s="2399"/>
      <c r="D111" s="2417" t="s">
        <v>864</v>
      </c>
      <c r="E111" s="2418"/>
      <c r="F111" s="2418"/>
      <c r="G111" s="2418"/>
      <c r="H111" s="2418"/>
      <c r="I111" s="2418"/>
      <c r="J111" s="2419"/>
      <c r="K111" s="2403">
        <v>17766.7</v>
      </c>
      <c r="L111" s="2404"/>
      <c r="M111" s="2275">
        <v>6410.5</v>
      </c>
      <c r="N111" s="2275"/>
      <c r="O111" s="2275"/>
      <c r="P111" s="2275">
        <f>M111</f>
        <v>6410.5</v>
      </c>
      <c r="Q111" s="2268">
        <v>1538.52</v>
      </c>
      <c r="R111" s="2444"/>
      <c r="S111" s="2445"/>
      <c r="T111" s="2444"/>
      <c r="U111" s="2445"/>
      <c r="V111" s="1823">
        <v>18356</v>
      </c>
      <c r="W111" s="2258">
        <v>18974.099999999999</v>
      </c>
    </row>
    <row r="112" spans="1:29" ht="34.5" customHeight="1" thickBot="1" x14ac:dyDescent="0.4">
      <c r="A112" s="2454" t="s">
        <v>1001</v>
      </c>
      <c r="B112" s="2455"/>
      <c r="C112" s="2456"/>
      <c r="D112" s="2664" t="s">
        <v>1002</v>
      </c>
      <c r="E112" s="2665"/>
      <c r="F112" s="2665"/>
      <c r="G112" s="2665"/>
      <c r="H112" s="2665"/>
      <c r="I112" s="2665"/>
      <c r="J112" s="2666"/>
      <c r="K112" s="2667"/>
      <c r="L112" s="2668"/>
      <c r="M112" s="1818"/>
      <c r="N112" s="1818"/>
      <c r="O112" s="1818"/>
      <c r="P112" s="1818"/>
      <c r="Q112" s="1819"/>
      <c r="R112" s="1820"/>
      <c r="S112" s="1821"/>
      <c r="T112" s="1820"/>
      <c r="U112" s="1821"/>
      <c r="V112" s="2271">
        <f>1443+95</f>
        <v>1538</v>
      </c>
      <c r="W112" s="2271"/>
      <c r="AC112" s="547">
        <v>95</v>
      </c>
    </row>
    <row r="113" spans="1:30" ht="61.5" customHeight="1" thickBot="1" x14ac:dyDescent="0.4">
      <c r="A113" s="2454" t="s">
        <v>975</v>
      </c>
      <c r="B113" s="2455"/>
      <c r="C113" s="2456"/>
      <c r="D113" s="2417" t="s">
        <v>888</v>
      </c>
      <c r="E113" s="2438"/>
      <c r="F113" s="2438"/>
      <c r="G113" s="2438"/>
      <c r="H113" s="2438"/>
      <c r="I113" s="2438"/>
      <c r="J113" s="2439"/>
      <c r="K113" s="2368">
        <f>388.9-5.7</f>
        <v>383.2</v>
      </c>
      <c r="L113" s="2369"/>
      <c r="M113" s="2275"/>
      <c r="N113" s="2275"/>
      <c r="O113" s="2275"/>
      <c r="P113" s="2275"/>
      <c r="Q113" s="2268"/>
      <c r="R113" s="2256"/>
      <c r="S113" s="2257"/>
      <c r="T113" s="2256"/>
      <c r="U113" s="2257"/>
      <c r="V113" s="2255">
        <f>388.9-5.7</f>
        <v>383.2</v>
      </c>
      <c r="W113" s="2255">
        <v>383.2</v>
      </c>
      <c r="AB113" s="550"/>
      <c r="AC113" s="547">
        <v>-5.7</v>
      </c>
      <c r="AD113" s="547">
        <v>383.2</v>
      </c>
    </row>
    <row r="114" spans="1:30" ht="28.5" customHeight="1" thickBot="1" x14ac:dyDescent="0.4">
      <c r="A114" s="2454" t="s">
        <v>1118</v>
      </c>
      <c r="B114" s="2455"/>
      <c r="C114" s="2456"/>
      <c r="D114" s="2663" t="s">
        <v>1126</v>
      </c>
      <c r="E114" s="2669"/>
      <c r="F114" s="2669"/>
      <c r="G114" s="2669"/>
      <c r="H114" s="2669"/>
      <c r="I114" s="2669"/>
      <c r="J114" s="2670"/>
      <c r="K114" s="2403">
        <v>8000</v>
      </c>
      <c r="L114" s="2404"/>
      <c r="M114" s="2294">
        <v>485.56200000000001</v>
      </c>
      <c r="N114" s="2294"/>
      <c r="O114" s="2294"/>
      <c r="P114" s="2294">
        <v>485.56200000000001</v>
      </c>
      <c r="Q114" s="2293">
        <v>485.56200000000001</v>
      </c>
      <c r="R114" s="1789"/>
      <c r="S114" s="2292"/>
      <c r="T114" s="1789"/>
      <c r="U114" s="2292"/>
      <c r="V114" s="2291"/>
      <c r="W114" s="2291"/>
      <c r="AB114" s="550"/>
    </row>
    <row r="115" spans="1:30" ht="36.65" customHeight="1" thickBot="1" x14ac:dyDescent="0.4">
      <c r="A115" s="2397" t="s">
        <v>974</v>
      </c>
      <c r="B115" s="2398"/>
      <c r="C115" s="2399"/>
      <c r="D115" s="2417" t="s">
        <v>1104</v>
      </c>
      <c r="E115" s="2438"/>
      <c r="F115" s="2438"/>
      <c r="G115" s="2438"/>
      <c r="H115" s="2438"/>
      <c r="I115" s="2438"/>
      <c r="J115" s="2439"/>
      <c r="K115" s="2403">
        <f>1333.1+278.4</f>
        <v>1611.5</v>
      </c>
      <c r="L115" s="2404"/>
      <c r="M115" s="2275">
        <v>485.56200000000001</v>
      </c>
      <c r="N115" s="2275"/>
      <c r="O115" s="2275"/>
      <c r="P115" s="2275">
        <v>485.56200000000001</v>
      </c>
      <c r="Q115" s="2268">
        <v>485.56200000000001</v>
      </c>
      <c r="R115" s="1789"/>
      <c r="S115" s="2261"/>
      <c r="T115" s="1789"/>
      <c r="U115" s="2261"/>
      <c r="V115" s="2258"/>
      <c r="W115" s="2258"/>
      <c r="X115" s="1791">
        <v>1333.1</v>
      </c>
      <c r="Y115" s="1790">
        <v>1333.1</v>
      </c>
      <c r="Z115" s="1790">
        <v>1333.1</v>
      </c>
      <c r="AB115" s="2282">
        <f>278.4+643.25+2136.73+405.4</f>
        <v>3463.78</v>
      </c>
      <c r="AC115" s="547">
        <f>-1333.1</f>
        <v>-1333.1</v>
      </c>
    </row>
    <row r="116" spans="1:30" ht="60.65" customHeight="1" thickBot="1" x14ac:dyDescent="0.4">
      <c r="A116" s="2397" t="s">
        <v>974</v>
      </c>
      <c r="B116" s="2398"/>
      <c r="C116" s="2399"/>
      <c r="D116" s="2613" t="s">
        <v>1101</v>
      </c>
      <c r="E116" s="2614"/>
      <c r="F116" s="2614"/>
      <c r="G116" s="2614"/>
      <c r="H116" s="2614"/>
      <c r="I116" s="2614"/>
      <c r="J116" s="2615"/>
      <c r="K116" s="2420">
        <v>405.4</v>
      </c>
      <c r="L116" s="2421"/>
      <c r="M116" s="2275"/>
      <c r="N116" s="2275"/>
      <c r="O116" s="2275"/>
      <c r="P116" s="2275"/>
      <c r="Q116" s="2268"/>
      <c r="R116" s="2422"/>
      <c r="S116" s="2423"/>
      <c r="T116" s="2422"/>
      <c r="U116" s="2423"/>
      <c r="V116" s="2259"/>
      <c r="W116" s="2259"/>
      <c r="X116" s="1791"/>
      <c r="Y116" s="1790"/>
      <c r="Z116" s="1790"/>
    </row>
    <row r="117" spans="1:30" ht="33" customHeight="1" thickBot="1" x14ac:dyDescent="0.4">
      <c r="A117" s="2397" t="s">
        <v>974</v>
      </c>
      <c r="B117" s="2398"/>
      <c r="C117" s="2399"/>
      <c r="D117" s="2613" t="s">
        <v>1102</v>
      </c>
      <c r="E117" s="2614"/>
      <c r="F117" s="2614"/>
      <c r="G117" s="2614"/>
      <c r="H117" s="2614"/>
      <c r="I117" s="2614"/>
      <c r="J117" s="2615"/>
      <c r="K117" s="2420">
        <v>643.25</v>
      </c>
      <c r="L117" s="2421"/>
      <c r="M117" s="2275"/>
      <c r="N117" s="2275"/>
      <c r="O117" s="2275"/>
      <c r="P117" s="2275"/>
      <c r="Q117" s="2268"/>
      <c r="R117" s="2260"/>
      <c r="S117" s="2261"/>
      <c r="T117" s="2260"/>
      <c r="U117" s="2261"/>
      <c r="V117" s="2259"/>
      <c r="W117" s="2259"/>
      <c r="X117" s="1791"/>
      <c r="Y117" s="1790"/>
      <c r="Z117" s="1790"/>
    </row>
    <row r="118" spans="1:30" ht="60.65" customHeight="1" thickBot="1" x14ac:dyDescent="0.4">
      <c r="A118" s="2397" t="s">
        <v>974</v>
      </c>
      <c r="B118" s="2398"/>
      <c r="C118" s="2399"/>
      <c r="D118" s="2435" t="s">
        <v>1103</v>
      </c>
      <c r="E118" s="2436"/>
      <c r="F118" s="2436"/>
      <c r="G118" s="2436"/>
      <c r="H118" s="2436"/>
      <c r="I118" s="2436"/>
      <c r="J118" s="2437"/>
      <c r="K118" s="2420">
        <v>2136.73</v>
      </c>
      <c r="L118" s="2421"/>
      <c r="M118" s="2275"/>
      <c r="N118" s="2275"/>
      <c r="O118" s="2275"/>
      <c r="P118" s="2275"/>
      <c r="Q118" s="2268"/>
      <c r="R118" s="2422"/>
      <c r="S118" s="2423"/>
      <c r="T118" s="2422"/>
      <c r="U118" s="2423"/>
      <c r="V118" s="2259"/>
      <c r="W118" s="2259"/>
      <c r="X118" s="1791"/>
      <c r="Y118" s="1790"/>
      <c r="Z118" s="1790"/>
    </row>
    <row r="119" spans="1:30" ht="38.5" customHeight="1" thickBot="1" x14ac:dyDescent="0.4">
      <c r="A119" s="2397" t="s">
        <v>974</v>
      </c>
      <c r="B119" s="2398"/>
      <c r="C119" s="2399"/>
      <c r="D119" s="2417" t="s">
        <v>1100</v>
      </c>
      <c r="E119" s="2418"/>
      <c r="F119" s="2418"/>
      <c r="G119" s="2418"/>
      <c r="H119" s="2418"/>
      <c r="I119" s="2418"/>
      <c r="J119" s="2419"/>
      <c r="K119" s="2420">
        <v>122</v>
      </c>
      <c r="L119" s="2421"/>
      <c r="M119" s="2290">
        <v>613</v>
      </c>
      <c r="N119" s="2290"/>
      <c r="O119" s="2290"/>
      <c r="P119" s="2290">
        <v>613</v>
      </c>
      <c r="Q119" s="2288">
        <v>613</v>
      </c>
      <c r="R119" s="2422"/>
      <c r="S119" s="2423"/>
      <c r="T119" s="2422"/>
      <c r="U119" s="2423"/>
      <c r="V119" s="2289"/>
      <c r="W119" s="2289"/>
      <c r="X119" s="1791"/>
      <c r="Y119" s="1790"/>
      <c r="Z119" s="1790"/>
    </row>
    <row r="120" spans="1:30" ht="36.75" customHeight="1" thickBot="1" x14ac:dyDescent="0.4">
      <c r="A120" s="2397" t="s">
        <v>973</v>
      </c>
      <c r="B120" s="2398"/>
      <c r="C120" s="2399"/>
      <c r="D120" s="2417" t="s">
        <v>736</v>
      </c>
      <c r="E120" s="2418"/>
      <c r="F120" s="2418"/>
      <c r="G120" s="2418"/>
      <c r="H120" s="2418"/>
      <c r="I120" s="2418"/>
      <c r="J120" s="2419"/>
      <c r="K120" s="2420">
        <f>844.2-42.7</f>
        <v>801.5</v>
      </c>
      <c r="L120" s="2421"/>
      <c r="M120" s="2275">
        <v>485.56200000000001</v>
      </c>
      <c r="N120" s="2275"/>
      <c r="O120" s="2275"/>
      <c r="P120" s="2275">
        <v>485.56200000000001</v>
      </c>
      <c r="Q120" s="2268">
        <v>485.56200000000001</v>
      </c>
      <c r="R120" s="2422"/>
      <c r="S120" s="2423"/>
      <c r="T120" s="2422"/>
      <c r="U120" s="2423"/>
      <c r="V120" s="2259">
        <f>874.4-59.6</f>
        <v>814.8</v>
      </c>
      <c r="W120" s="2259">
        <v>857.3</v>
      </c>
      <c r="X120" s="1791">
        <v>834.7</v>
      </c>
      <c r="Y120" s="1790">
        <v>844.2</v>
      </c>
      <c r="Z120" s="1790">
        <v>874.4</v>
      </c>
      <c r="AB120" s="547">
        <v>-42.7</v>
      </c>
      <c r="AC120" s="547">
        <v>-59.6</v>
      </c>
      <c r="AD120" s="547">
        <v>857.3</v>
      </c>
    </row>
    <row r="121" spans="1:30" ht="51.75" customHeight="1" thickBot="1" x14ac:dyDescent="0.4">
      <c r="A121" s="2397" t="s">
        <v>972</v>
      </c>
      <c r="B121" s="2398"/>
      <c r="C121" s="2399"/>
      <c r="D121" s="2417" t="s">
        <v>889</v>
      </c>
      <c r="E121" s="2418"/>
      <c r="F121" s="2418"/>
      <c r="G121" s="2418"/>
      <c r="H121" s="2418"/>
      <c r="I121" s="2418"/>
      <c r="J121" s="2419"/>
      <c r="K121" s="2420">
        <f>7.1-0.06</f>
        <v>7.04</v>
      </c>
      <c r="L121" s="2421"/>
      <c r="M121" s="2275">
        <v>10</v>
      </c>
      <c r="N121" s="2275"/>
      <c r="O121" s="2275"/>
      <c r="P121" s="2275">
        <v>10</v>
      </c>
      <c r="Q121" s="2268">
        <v>10</v>
      </c>
      <c r="R121" s="2422">
        <v>598.5</v>
      </c>
      <c r="S121" s="2423"/>
      <c r="T121" s="2422">
        <v>598.5</v>
      </c>
      <c r="U121" s="2423"/>
      <c r="V121" s="2259">
        <f>7.1-0.06</f>
        <v>7.04</v>
      </c>
      <c r="W121" s="2259">
        <f>7.1-0.06</f>
        <v>7.04</v>
      </c>
      <c r="X121" s="1791">
        <v>7.1</v>
      </c>
      <c r="Y121" s="1790">
        <v>7.1</v>
      </c>
      <c r="Z121" s="1790">
        <v>7.1</v>
      </c>
    </row>
    <row r="122" spans="1:30" ht="33" hidden="1" customHeight="1" thickBot="1" x14ac:dyDescent="0.4">
      <c r="A122" s="2397" t="s">
        <v>1099</v>
      </c>
      <c r="B122" s="2398"/>
      <c r="C122" s="2399"/>
      <c r="D122" s="2417" t="s">
        <v>1100</v>
      </c>
      <c r="E122" s="2418"/>
      <c r="F122" s="2418"/>
      <c r="G122" s="2418"/>
      <c r="H122" s="2418"/>
      <c r="I122" s="2418"/>
      <c r="J122" s="2419"/>
      <c r="K122" s="2420"/>
      <c r="L122" s="2421"/>
      <c r="M122" s="2275">
        <v>613</v>
      </c>
      <c r="N122" s="2275"/>
      <c r="O122" s="2275"/>
      <c r="P122" s="2275">
        <v>613</v>
      </c>
      <c r="Q122" s="2268">
        <v>613</v>
      </c>
      <c r="R122" s="2422"/>
      <c r="S122" s="2423"/>
      <c r="T122" s="2422"/>
      <c r="U122" s="2423"/>
      <c r="V122" s="2259"/>
      <c r="W122" s="2259"/>
      <c r="AB122" s="547">
        <v>122</v>
      </c>
    </row>
    <row r="123" spans="1:30" ht="30.65" customHeight="1" thickBot="1" x14ac:dyDescent="0.4">
      <c r="A123" s="2397" t="s">
        <v>1125</v>
      </c>
      <c r="B123" s="2398"/>
      <c r="C123" s="2399"/>
      <c r="D123" s="2663" t="s">
        <v>1127</v>
      </c>
      <c r="E123" s="2568"/>
      <c r="F123" s="2568"/>
      <c r="G123" s="2568"/>
      <c r="H123" s="2568"/>
      <c r="I123" s="2568"/>
      <c r="J123" s="2569"/>
      <c r="K123" s="2420">
        <v>35.76</v>
      </c>
      <c r="L123" s="2421"/>
      <c r="M123" s="2331"/>
      <c r="N123" s="2331"/>
      <c r="O123" s="2331"/>
      <c r="P123" s="2331"/>
      <c r="Q123" s="2329"/>
      <c r="R123" s="2422"/>
      <c r="S123" s="2423"/>
      <c r="T123" s="2422"/>
      <c r="U123" s="2423"/>
      <c r="V123" s="2330">
        <v>30.06</v>
      </c>
      <c r="W123" s="2330">
        <v>30.06</v>
      </c>
    </row>
    <row r="124" spans="1:30" ht="34.5" customHeight="1" thickBot="1" x14ac:dyDescent="0.4">
      <c r="A124" s="2397" t="s">
        <v>1123</v>
      </c>
      <c r="B124" s="2398"/>
      <c r="C124" s="2399"/>
      <c r="D124" s="2400" t="s">
        <v>1124</v>
      </c>
      <c r="E124" s="2401"/>
      <c r="F124" s="2401"/>
      <c r="G124" s="2401"/>
      <c r="H124" s="2401"/>
      <c r="I124" s="2401"/>
      <c r="J124" s="2402"/>
      <c r="K124" s="2403">
        <v>20</v>
      </c>
      <c r="L124" s="2404"/>
      <c r="M124" s="2275">
        <v>965</v>
      </c>
      <c r="N124" s="2275">
        <v>20</v>
      </c>
      <c r="O124" s="2275">
        <v>20</v>
      </c>
      <c r="P124" s="2275">
        <f>M124+N124+O124</f>
        <v>1005</v>
      </c>
      <c r="Q124" s="2268">
        <v>1222.22</v>
      </c>
      <c r="R124" s="2405">
        <v>212</v>
      </c>
      <c r="S124" s="2406"/>
      <c r="T124" s="2405">
        <v>220</v>
      </c>
      <c r="U124" s="2406"/>
      <c r="V124" s="2258">
        <v>20</v>
      </c>
      <c r="W124" s="2258">
        <v>20</v>
      </c>
    </row>
    <row r="125" spans="1:30" ht="12.75" customHeight="1" x14ac:dyDescent="0.35">
      <c r="A125" s="2407" t="s">
        <v>744</v>
      </c>
      <c r="B125" s="2408"/>
      <c r="C125" s="2409"/>
      <c r="D125" s="982"/>
      <c r="E125" s="983"/>
      <c r="F125" s="983"/>
      <c r="G125" s="983"/>
      <c r="H125" s="983"/>
      <c r="I125" s="983"/>
      <c r="J125" s="984"/>
      <c r="K125" s="2449">
        <f>K108+K38</f>
        <v>112614.758</v>
      </c>
      <c r="L125" s="2350"/>
      <c r="M125" s="2661">
        <v>25719.42</v>
      </c>
      <c r="N125" s="2661"/>
      <c r="O125" s="2661"/>
      <c r="P125" s="2659">
        <f>P38+P108</f>
        <v>32956.455999999998</v>
      </c>
      <c r="Q125" s="2661"/>
      <c r="R125" s="2373">
        <f>R38+R108</f>
        <v>74385.700000000012</v>
      </c>
      <c r="S125" s="2374"/>
      <c r="T125" s="2373">
        <f>T38+T108</f>
        <v>76457.200000000012</v>
      </c>
      <c r="U125" s="2374"/>
      <c r="V125" s="2350">
        <f>V108+V38</f>
        <v>99005.965000000011</v>
      </c>
      <c r="W125" s="2350">
        <f>W108+W38</f>
        <v>99831.285999999993</v>
      </c>
    </row>
    <row r="126" spans="1:30" ht="16.5" customHeight="1" thickBot="1" x14ac:dyDescent="0.4">
      <c r="A126" s="2410"/>
      <c r="B126" s="2411"/>
      <c r="C126" s="2412"/>
      <c r="D126" s="979"/>
      <c r="E126" s="980"/>
      <c r="F126" s="980"/>
      <c r="G126" s="986"/>
      <c r="H126" s="986"/>
      <c r="I126" s="986"/>
      <c r="J126" s="987"/>
      <c r="K126" s="2451"/>
      <c r="L126" s="2351"/>
      <c r="M126" s="2662"/>
      <c r="N126" s="2662"/>
      <c r="O126" s="2662"/>
      <c r="P126" s="2660"/>
      <c r="Q126" s="2662"/>
      <c r="R126" s="2375"/>
      <c r="S126" s="2376"/>
      <c r="T126" s="2375"/>
      <c r="U126" s="2376"/>
      <c r="V126" s="2351"/>
      <c r="W126" s="2351"/>
    </row>
    <row r="127" spans="1:30" x14ac:dyDescent="0.35">
      <c r="K127" s="447"/>
      <c r="L127" s="447"/>
      <c r="N127" s="2272">
        <f>SUM(N38:N126)</f>
        <v>3863.518</v>
      </c>
      <c r="O127" s="2272">
        <f>SUM(O38:O126)</f>
        <v>3863.518</v>
      </c>
      <c r="P127" s="2272">
        <f>M125+N127+O127</f>
        <v>33446.455999999998</v>
      </c>
    </row>
    <row r="128" spans="1:30" x14ac:dyDescent="0.35">
      <c r="X128" s="1704">
        <v>356.3</v>
      </c>
      <c r="Y128" s="1704">
        <v>356.3</v>
      </c>
      <c r="Z128" s="1704">
        <v>356.3</v>
      </c>
    </row>
    <row r="129" spans="22:26" x14ac:dyDescent="0.35">
      <c r="X129" s="1704">
        <v>106.9</v>
      </c>
      <c r="Y129" s="1704">
        <v>88.4</v>
      </c>
      <c r="Z129" s="1704">
        <v>874.4</v>
      </c>
    </row>
    <row r="130" spans="22:26" x14ac:dyDescent="0.35">
      <c r="X130" s="1704">
        <v>-648.9</v>
      </c>
      <c r="Y130" s="1704">
        <v>-648.9</v>
      </c>
      <c r="Z130" s="1704">
        <v>-648.9</v>
      </c>
    </row>
    <row r="131" spans="22:26" x14ac:dyDescent="0.35">
      <c r="W131" s="541"/>
      <c r="X131" s="1704">
        <f>SUM(X128:X130)</f>
        <v>-185.69999999999993</v>
      </c>
      <c r="Y131" s="1704">
        <f>SUM(Y128:Y130)</f>
        <v>-204.19999999999993</v>
      </c>
      <c r="Z131" s="1704">
        <f>SUM(Z128:Z130)</f>
        <v>581.80000000000007</v>
      </c>
    </row>
    <row r="133" spans="22:26" x14ac:dyDescent="0.35">
      <c r="V133" s="2312"/>
    </row>
  </sheetData>
  <mergeCells count="384">
    <mergeCell ref="K12:X12"/>
    <mergeCell ref="K13:X13"/>
    <mergeCell ref="K14:X14"/>
    <mergeCell ref="K15:X15"/>
    <mergeCell ref="K16:X16"/>
    <mergeCell ref="N35:N36"/>
    <mergeCell ref="O35:O36"/>
    <mergeCell ref="A36:C36"/>
    <mergeCell ref="A119:C119"/>
    <mergeCell ref="D119:J119"/>
    <mergeCell ref="K119:L119"/>
    <mergeCell ref="R119:S119"/>
    <mergeCell ref="T119:U119"/>
    <mergeCell ref="A31:W31"/>
    <mergeCell ref="A32:L32"/>
    <mergeCell ref="A33:W33"/>
    <mergeCell ref="K34:L34"/>
    <mergeCell ref="R34:S34"/>
    <mergeCell ref="T34:U34"/>
    <mergeCell ref="D40:J41"/>
    <mergeCell ref="K40:L41"/>
    <mergeCell ref="M40:M41"/>
    <mergeCell ref="N40:N41"/>
    <mergeCell ref="O40:O41"/>
    <mergeCell ref="K37:L37"/>
    <mergeCell ref="R37:S37"/>
    <mergeCell ref="T37:U37"/>
    <mergeCell ref="A38:C39"/>
    <mergeCell ref="D38:J39"/>
    <mergeCell ref="T40:U41"/>
    <mergeCell ref="V40:V41"/>
    <mergeCell ref="W40:W41"/>
    <mergeCell ref="T38:U39"/>
    <mergeCell ref="V38:V39"/>
    <mergeCell ref="W38:W39"/>
    <mergeCell ref="U18:W18"/>
    <mergeCell ref="U19:W19"/>
    <mergeCell ref="K20:W20"/>
    <mergeCell ref="K21:W21"/>
    <mergeCell ref="A30:W30"/>
    <mergeCell ref="P35:P36"/>
    <mergeCell ref="Q35:Q36"/>
    <mergeCell ref="R35:S36"/>
    <mergeCell ref="T35:U36"/>
    <mergeCell ref="V35:V36"/>
    <mergeCell ref="W35:W36"/>
    <mergeCell ref="A35:C35"/>
    <mergeCell ref="D35:J36"/>
    <mergeCell ref="K35:L36"/>
    <mergeCell ref="M35:M36"/>
    <mergeCell ref="K22:X22"/>
    <mergeCell ref="M42:M43"/>
    <mergeCell ref="N42:N43"/>
    <mergeCell ref="O38:O39"/>
    <mergeCell ref="P38:P39"/>
    <mergeCell ref="P40:P41"/>
    <mergeCell ref="Q40:Q41"/>
    <mergeCell ref="R40:S41"/>
    <mergeCell ref="K38:L39"/>
    <mergeCell ref="M38:M39"/>
    <mergeCell ref="N38:N39"/>
    <mergeCell ref="Q42:Q43"/>
    <mergeCell ref="R42:S43"/>
    <mergeCell ref="Q38:Q39"/>
    <mergeCell ref="R38:S39"/>
    <mergeCell ref="T42:U43"/>
    <mergeCell ref="V42:V43"/>
    <mergeCell ref="W42:W43"/>
    <mergeCell ref="O42:O43"/>
    <mergeCell ref="P42:P43"/>
    <mergeCell ref="W44:W45"/>
    <mergeCell ref="A46:C46"/>
    <mergeCell ref="D46:J46"/>
    <mergeCell ref="K46:L46"/>
    <mergeCell ref="R46:S46"/>
    <mergeCell ref="T46:U46"/>
    <mergeCell ref="O44:O45"/>
    <mergeCell ref="P44:P45"/>
    <mergeCell ref="Q44:Q45"/>
    <mergeCell ref="R44:S45"/>
    <mergeCell ref="T44:U45"/>
    <mergeCell ref="V44:V45"/>
    <mergeCell ref="A44:C45"/>
    <mergeCell ref="D44:J45"/>
    <mergeCell ref="K44:L45"/>
    <mergeCell ref="M44:M45"/>
    <mergeCell ref="N44:N45"/>
    <mergeCell ref="A42:C43"/>
    <mergeCell ref="K42:L43"/>
    <mergeCell ref="W51:W52"/>
    <mergeCell ref="A54:C54"/>
    <mergeCell ref="K54:L54"/>
    <mergeCell ref="R54:S54"/>
    <mergeCell ref="T54:U54"/>
    <mergeCell ref="V51:V52"/>
    <mergeCell ref="W47:W48"/>
    <mergeCell ref="A47:C48"/>
    <mergeCell ref="D47:J48"/>
    <mergeCell ref="K47:L48"/>
    <mergeCell ref="M47:M48"/>
    <mergeCell ref="N47:N48"/>
    <mergeCell ref="O47:O48"/>
    <mergeCell ref="A50:C50"/>
    <mergeCell ref="D50:J50"/>
    <mergeCell ref="K50:L50"/>
    <mergeCell ref="R50:S50"/>
    <mergeCell ref="T50:U50"/>
    <mergeCell ref="P47:P48"/>
    <mergeCell ref="Q47:Q48"/>
    <mergeCell ref="R47:S48"/>
    <mergeCell ref="T47:U48"/>
    <mergeCell ref="V47:V48"/>
    <mergeCell ref="A55:C55"/>
    <mergeCell ref="K55:L55"/>
    <mergeCell ref="R55:S55"/>
    <mergeCell ref="T55:U55"/>
    <mergeCell ref="O51:O52"/>
    <mergeCell ref="P51:P52"/>
    <mergeCell ref="Q51:Q52"/>
    <mergeCell ref="R51:S52"/>
    <mergeCell ref="T51:U52"/>
    <mergeCell ref="A51:C52"/>
    <mergeCell ref="D51:J52"/>
    <mergeCell ref="K51:L52"/>
    <mergeCell ref="M51:M52"/>
    <mergeCell ref="N51:N52"/>
    <mergeCell ref="P57:P58"/>
    <mergeCell ref="Q57:Q58"/>
    <mergeCell ref="R57:S58"/>
    <mergeCell ref="T57:U58"/>
    <mergeCell ref="V57:V58"/>
    <mergeCell ref="W57:W58"/>
    <mergeCell ref="A56:C56"/>
    <mergeCell ref="K56:L56"/>
    <mergeCell ref="R56:S56"/>
    <mergeCell ref="T56:U56"/>
    <mergeCell ref="A57:C58"/>
    <mergeCell ref="D57:J58"/>
    <mergeCell ref="K57:L58"/>
    <mergeCell ref="M57:M58"/>
    <mergeCell ref="N57:N58"/>
    <mergeCell ref="O57:O58"/>
    <mergeCell ref="A63:C65"/>
    <mergeCell ref="K63:L65"/>
    <mergeCell ref="M63:M65"/>
    <mergeCell ref="N63:N65"/>
    <mergeCell ref="O63:O65"/>
    <mergeCell ref="A59:C62"/>
    <mergeCell ref="K59:L62"/>
    <mergeCell ref="M59:M62"/>
    <mergeCell ref="N59:N62"/>
    <mergeCell ref="O59:O62"/>
    <mergeCell ref="P63:P65"/>
    <mergeCell ref="Q63:Q65"/>
    <mergeCell ref="R63:S65"/>
    <mergeCell ref="T63:U65"/>
    <mergeCell ref="V63:V65"/>
    <mergeCell ref="W63:W65"/>
    <mergeCell ref="Q59:Q62"/>
    <mergeCell ref="R59:S62"/>
    <mergeCell ref="T59:U62"/>
    <mergeCell ref="V59:V62"/>
    <mergeCell ref="W59:W62"/>
    <mergeCell ref="P59:P62"/>
    <mergeCell ref="A70:C73"/>
    <mergeCell ref="K70:L73"/>
    <mergeCell ref="M70:M73"/>
    <mergeCell ref="N70:N73"/>
    <mergeCell ref="O70:O73"/>
    <mergeCell ref="A66:C69"/>
    <mergeCell ref="K66:L69"/>
    <mergeCell ref="M66:M69"/>
    <mergeCell ref="N66:N69"/>
    <mergeCell ref="O66:O69"/>
    <mergeCell ref="P70:P73"/>
    <mergeCell ref="Q70:Q73"/>
    <mergeCell ref="R70:S73"/>
    <mergeCell ref="T70:U73"/>
    <mergeCell ref="V70:V73"/>
    <mergeCell ref="W70:W73"/>
    <mergeCell ref="Q66:Q69"/>
    <mergeCell ref="R66:S69"/>
    <mergeCell ref="T66:U69"/>
    <mergeCell ref="V66:V69"/>
    <mergeCell ref="W66:W69"/>
    <mergeCell ref="P66:P69"/>
    <mergeCell ref="A78:C81"/>
    <mergeCell ref="K78:L81"/>
    <mergeCell ref="M78:M81"/>
    <mergeCell ref="N78:N81"/>
    <mergeCell ref="O78:O81"/>
    <mergeCell ref="A74:C77"/>
    <mergeCell ref="K74:L77"/>
    <mergeCell ref="M74:M77"/>
    <mergeCell ref="N74:N77"/>
    <mergeCell ref="O74:O77"/>
    <mergeCell ref="P78:P81"/>
    <mergeCell ref="Q78:Q81"/>
    <mergeCell ref="R78:S81"/>
    <mergeCell ref="T78:U81"/>
    <mergeCell ref="V78:V81"/>
    <mergeCell ref="W78:W81"/>
    <mergeCell ref="Q74:Q77"/>
    <mergeCell ref="R74:S77"/>
    <mergeCell ref="T74:U77"/>
    <mergeCell ref="V74:V77"/>
    <mergeCell ref="W74:W77"/>
    <mergeCell ref="P74:P77"/>
    <mergeCell ref="A84:C86"/>
    <mergeCell ref="K84:L86"/>
    <mergeCell ref="M84:M86"/>
    <mergeCell ref="N84:N86"/>
    <mergeCell ref="O84:O86"/>
    <mergeCell ref="A82:C83"/>
    <mergeCell ref="K82:L83"/>
    <mergeCell ref="M82:M83"/>
    <mergeCell ref="N82:N83"/>
    <mergeCell ref="O82:O83"/>
    <mergeCell ref="P84:P86"/>
    <mergeCell ref="Q84:Q86"/>
    <mergeCell ref="R84:S86"/>
    <mergeCell ref="T84:U86"/>
    <mergeCell ref="V84:V86"/>
    <mergeCell ref="W84:W86"/>
    <mergeCell ref="Q82:Q83"/>
    <mergeCell ref="R82:S83"/>
    <mergeCell ref="T82:U83"/>
    <mergeCell ref="V82:V83"/>
    <mergeCell ref="W82:W83"/>
    <mergeCell ref="P82:P83"/>
    <mergeCell ref="A87:C87"/>
    <mergeCell ref="K87:L87"/>
    <mergeCell ref="R87:S87"/>
    <mergeCell ref="T87:U87"/>
    <mergeCell ref="A88:C89"/>
    <mergeCell ref="K88:L89"/>
    <mergeCell ref="M88:M89"/>
    <mergeCell ref="N88:N89"/>
    <mergeCell ref="O88:O89"/>
    <mergeCell ref="P88:P89"/>
    <mergeCell ref="Q88:Q89"/>
    <mergeCell ref="R88:S89"/>
    <mergeCell ref="T88:U89"/>
    <mergeCell ref="V88:V89"/>
    <mergeCell ref="W88:W89"/>
    <mergeCell ref="A90:C90"/>
    <mergeCell ref="K90:L90"/>
    <mergeCell ref="R90:S90"/>
    <mergeCell ref="T90:U90"/>
    <mergeCell ref="A96:C98"/>
    <mergeCell ref="K96:L99"/>
    <mergeCell ref="M96:M98"/>
    <mergeCell ref="N96:N98"/>
    <mergeCell ref="O96:O98"/>
    <mergeCell ref="A91:C95"/>
    <mergeCell ref="K91:L95"/>
    <mergeCell ref="M91:M95"/>
    <mergeCell ref="N91:N95"/>
    <mergeCell ref="O91:O95"/>
    <mergeCell ref="P96:P98"/>
    <mergeCell ref="Q96:Q98"/>
    <mergeCell ref="R96:S99"/>
    <mergeCell ref="T96:U99"/>
    <mergeCell ref="V96:V99"/>
    <mergeCell ref="W96:W99"/>
    <mergeCell ref="Q91:Q95"/>
    <mergeCell ref="R91:S95"/>
    <mergeCell ref="T91:U95"/>
    <mergeCell ref="V91:V95"/>
    <mergeCell ref="W91:W95"/>
    <mergeCell ref="P91:P95"/>
    <mergeCell ref="W100:W101"/>
    <mergeCell ref="A102:C103"/>
    <mergeCell ref="D102:J103"/>
    <mergeCell ref="K102:L103"/>
    <mergeCell ref="R102:S103"/>
    <mergeCell ref="T102:U103"/>
    <mergeCell ref="V102:V103"/>
    <mergeCell ref="W102:W103"/>
    <mergeCell ref="A100:C101"/>
    <mergeCell ref="D100:J101"/>
    <mergeCell ref="K100:L101"/>
    <mergeCell ref="R100:S101"/>
    <mergeCell ref="T100:U101"/>
    <mergeCell ref="V100:V101"/>
    <mergeCell ref="A106:C107"/>
    <mergeCell ref="K106:L107"/>
    <mergeCell ref="M106:M107"/>
    <mergeCell ref="N106:N107"/>
    <mergeCell ref="O106:O107"/>
    <mergeCell ref="A104:C105"/>
    <mergeCell ref="K104:L105"/>
    <mergeCell ref="M104:M105"/>
    <mergeCell ref="N104:N105"/>
    <mergeCell ref="O104:O105"/>
    <mergeCell ref="P106:P107"/>
    <mergeCell ref="Q106:Q107"/>
    <mergeCell ref="R106:S107"/>
    <mergeCell ref="T106:U107"/>
    <mergeCell ref="V106:V107"/>
    <mergeCell ref="W106:W107"/>
    <mergeCell ref="Q104:Q105"/>
    <mergeCell ref="R104:S105"/>
    <mergeCell ref="T104:U105"/>
    <mergeCell ref="V104:V105"/>
    <mergeCell ref="W104:W105"/>
    <mergeCell ref="P104:P105"/>
    <mergeCell ref="Q108:Q109"/>
    <mergeCell ref="R108:S110"/>
    <mergeCell ref="T108:U110"/>
    <mergeCell ref="V108:V110"/>
    <mergeCell ref="W108:W110"/>
    <mergeCell ref="A111:C111"/>
    <mergeCell ref="D111:J111"/>
    <mergeCell ref="K111:L111"/>
    <mergeCell ref="R111:S111"/>
    <mergeCell ref="T111:U111"/>
    <mergeCell ref="A108:C109"/>
    <mergeCell ref="K108:L110"/>
    <mergeCell ref="M108:M109"/>
    <mergeCell ref="N108:N109"/>
    <mergeCell ref="O108:O109"/>
    <mergeCell ref="P108:P109"/>
    <mergeCell ref="A115:C115"/>
    <mergeCell ref="D115:J115"/>
    <mergeCell ref="K115:L115"/>
    <mergeCell ref="A116:C116"/>
    <mergeCell ref="D116:J116"/>
    <mergeCell ref="K116:L116"/>
    <mergeCell ref="A112:C112"/>
    <mergeCell ref="D112:J112"/>
    <mergeCell ref="K112:L112"/>
    <mergeCell ref="A113:C113"/>
    <mergeCell ref="D113:J113"/>
    <mergeCell ref="K113:L113"/>
    <mergeCell ref="A114:C114"/>
    <mergeCell ref="D114:J114"/>
    <mergeCell ref="K114:L114"/>
    <mergeCell ref="R116:S116"/>
    <mergeCell ref="T116:U116"/>
    <mergeCell ref="A118:C118"/>
    <mergeCell ref="D118:J118"/>
    <mergeCell ref="K118:L118"/>
    <mergeCell ref="R118:S118"/>
    <mergeCell ref="T118:U118"/>
    <mergeCell ref="A117:C117"/>
    <mergeCell ref="D117:J117"/>
    <mergeCell ref="K117:L117"/>
    <mergeCell ref="A120:C120"/>
    <mergeCell ref="D120:J120"/>
    <mergeCell ref="K120:L120"/>
    <mergeCell ref="R120:S120"/>
    <mergeCell ref="T120:U120"/>
    <mergeCell ref="A121:C121"/>
    <mergeCell ref="D121:J121"/>
    <mergeCell ref="K121:L121"/>
    <mergeCell ref="R121:S121"/>
    <mergeCell ref="T121:U121"/>
    <mergeCell ref="A122:C122"/>
    <mergeCell ref="D122:J122"/>
    <mergeCell ref="K122:L122"/>
    <mergeCell ref="R122:S122"/>
    <mergeCell ref="T122:U122"/>
    <mergeCell ref="A123:C123"/>
    <mergeCell ref="D123:J123"/>
    <mergeCell ref="K123:L123"/>
    <mergeCell ref="R123:S123"/>
    <mergeCell ref="T123:U123"/>
    <mergeCell ref="P125:P126"/>
    <mergeCell ref="Q125:Q126"/>
    <mergeCell ref="R125:S126"/>
    <mergeCell ref="T125:U126"/>
    <mergeCell ref="V125:V126"/>
    <mergeCell ref="W125:W126"/>
    <mergeCell ref="A124:C124"/>
    <mergeCell ref="D124:J124"/>
    <mergeCell ref="K124:L124"/>
    <mergeCell ref="R124:S124"/>
    <mergeCell ref="T124:U124"/>
    <mergeCell ref="A125:C126"/>
    <mergeCell ref="K125:L126"/>
    <mergeCell ref="M125:M126"/>
    <mergeCell ref="N125:N126"/>
    <mergeCell ref="O125:O126"/>
  </mergeCells>
  <printOptions horizontalCentered="1"/>
  <pageMargins left="0.39370078740157483" right="0.27559055118110237" top="0.27559055118110237" bottom="0.15748031496062992" header="0.27559055118110237" footer="0.15748031496062992"/>
  <pageSetup paperSize="9" scale="52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7.269531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.26953125" style="547" hidden="1" customWidth="1"/>
    <col min="22" max="22" width="14.81640625" style="547" customWidth="1"/>
    <col min="23" max="23" width="16.54296875" style="547" customWidth="1"/>
    <col min="24" max="26" width="0" style="547" hidden="1" customWidth="1"/>
    <col min="27" max="27" width="1.453125" style="547" hidden="1" customWidth="1"/>
    <col min="28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1724"/>
    </row>
    <row r="2" spans="8:23" hidden="1" x14ac:dyDescent="0.35">
      <c r="J2" s="541"/>
      <c r="L2" s="869" t="s">
        <v>450</v>
      </c>
      <c r="M2" s="1724"/>
      <c r="N2" s="1724"/>
    </row>
    <row r="3" spans="8:23" hidden="1" x14ac:dyDescent="0.3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idden="1" x14ac:dyDescent="0.35">
      <c r="I4" s="541"/>
      <c r="J4" s="541"/>
      <c r="L4" s="869" t="s">
        <v>448</v>
      </c>
      <c r="M4" s="1724"/>
      <c r="N4" s="1724"/>
      <c r="O4" s="1724"/>
    </row>
    <row r="5" spans="8:23" hidden="1" x14ac:dyDescent="0.35">
      <c r="I5" s="541"/>
      <c r="J5" s="541"/>
      <c r="L5" s="869" t="s">
        <v>448</v>
      </c>
      <c r="M5" s="1724"/>
      <c r="N5" s="1724"/>
      <c r="O5" s="1724"/>
    </row>
    <row r="6" spans="8:23" hidden="1" x14ac:dyDescent="0.35">
      <c r="J6" s="541"/>
      <c r="L6" s="876" t="s">
        <v>627</v>
      </c>
      <c r="M6" s="1725"/>
      <c r="N6" s="1725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2601" t="s">
        <v>625</v>
      </c>
      <c r="V12" s="2601"/>
      <c r="W12" s="2601"/>
    </row>
    <row r="13" spans="8:23" x14ac:dyDescent="0.35">
      <c r="Q13" s="877"/>
      <c r="U13" s="2601" t="s">
        <v>450</v>
      </c>
      <c r="V13" s="2601"/>
      <c r="W13" s="2601"/>
    </row>
    <row r="14" spans="8:23" x14ac:dyDescent="0.35">
      <c r="K14" s="2601" t="s">
        <v>449</v>
      </c>
      <c r="L14" s="2601"/>
      <c r="M14" s="2601"/>
      <c r="N14" s="2601"/>
      <c r="O14" s="2601"/>
      <c r="P14" s="2601"/>
      <c r="Q14" s="2601"/>
      <c r="R14" s="2601"/>
      <c r="S14" s="2601"/>
      <c r="T14" s="2601"/>
      <c r="U14" s="2601"/>
      <c r="V14" s="2601"/>
      <c r="W14" s="2601"/>
    </row>
    <row r="15" spans="8:23" x14ac:dyDescent="0.35">
      <c r="K15" s="2601" t="s">
        <v>448</v>
      </c>
      <c r="L15" s="2601"/>
      <c r="M15" s="2601"/>
      <c r="N15" s="2601"/>
      <c r="O15" s="2601"/>
      <c r="P15" s="2601"/>
      <c r="Q15" s="2601"/>
      <c r="R15" s="2601"/>
      <c r="S15" s="2601"/>
      <c r="T15" s="2601"/>
      <c r="U15" s="2601"/>
      <c r="V15" s="2601"/>
      <c r="W15" s="2601"/>
    </row>
    <row r="16" spans="8:23" x14ac:dyDescent="0.35">
      <c r="Q16" s="541"/>
      <c r="R16" s="387" t="s">
        <v>617</v>
      </c>
      <c r="U16" s="2603" t="s">
        <v>991</v>
      </c>
      <c r="V16" s="2603"/>
      <c r="W16" s="2603"/>
    </row>
    <row r="17" spans="1:23" x14ac:dyDescent="0.35">
      <c r="Q17" s="541"/>
      <c r="R17" s="1724"/>
      <c r="S17" s="1724"/>
      <c r="T17" s="1724"/>
      <c r="U17" s="1724"/>
    </row>
    <row r="18" spans="1:23" hidden="1" x14ac:dyDescent="0.35">
      <c r="L18" s="1724" t="s">
        <v>446</v>
      </c>
      <c r="Q18" s="541"/>
      <c r="R18" s="1724"/>
      <c r="S18" s="1724"/>
      <c r="T18" s="1724"/>
    </row>
    <row r="19" spans="1:23" hidden="1" x14ac:dyDescent="0.35">
      <c r="L19" s="541"/>
      <c r="Q19" s="541"/>
      <c r="R19" s="1724"/>
      <c r="S19" s="1724"/>
      <c r="T19" s="1724"/>
      <c r="U19" s="1724"/>
    </row>
    <row r="20" spans="1:23" hidden="1" x14ac:dyDescent="0.35">
      <c r="L20" s="1724" t="s">
        <v>842</v>
      </c>
      <c r="Q20" s="541"/>
      <c r="R20" s="1724"/>
      <c r="S20" s="1724"/>
      <c r="T20" s="1724"/>
    </row>
    <row r="21" spans="1:23" x14ac:dyDescent="0.35">
      <c r="J21" s="1724"/>
      <c r="K21" s="869"/>
      <c r="L21" s="1724"/>
    </row>
    <row r="22" spans="1:23" x14ac:dyDescent="0.35">
      <c r="J22" s="1724"/>
      <c r="K22" s="869"/>
      <c r="L22" s="869"/>
    </row>
    <row r="23" spans="1:23" hidden="1" x14ac:dyDescent="0.35"/>
    <row r="24" spans="1:23" ht="19.5" customHeight="1" x14ac:dyDescent="0.35">
      <c r="A24" s="2352" t="s">
        <v>629</v>
      </c>
      <c r="B24" s="2352"/>
      <c r="C24" s="2352"/>
      <c r="D24" s="2352"/>
      <c r="E24" s="2352"/>
      <c r="F24" s="2352"/>
      <c r="G24" s="2352"/>
      <c r="H24" s="2352"/>
      <c r="I24" s="2352"/>
      <c r="J24" s="2352"/>
      <c r="K24" s="2352"/>
      <c r="L24" s="2352"/>
      <c r="M24" s="2352"/>
      <c r="N24" s="2352"/>
      <c r="O24" s="2352"/>
      <c r="P24" s="2352"/>
      <c r="Q24" s="2352"/>
      <c r="R24" s="2352"/>
      <c r="S24" s="2352"/>
      <c r="T24" s="2352"/>
      <c r="U24" s="2352"/>
      <c r="V24" s="2352"/>
      <c r="W24" s="2352"/>
    </row>
    <row r="25" spans="1:23" ht="17.5" x14ac:dyDescent="0.35">
      <c r="A25" s="2352" t="s">
        <v>630</v>
      </c>
      <c r="B25" s="2352"/>
      <c r="C25" s="2352"/>
      <c r="D25" s="2352"/>
      <c r="E25" s="2352"/>
      <c r="F25" s="2352"/>
      <c r="G25" s="2352"/>
      <c r="H25" s="2352"/>
      <c r="I25" s="2352"/>
      <c r="J25" s="2352"/>
      <c r="K25" s="2352"/>
      <c r="L25" s="2352"/>
      <c r="M25" s="2352"/>
      <c r="N25" s="2352"/>
      <c r="O25" s="2352"/>
      <c r="P25" s="2352"/>
      <c r="Q25" s="2352"/>
      <c r="R25" s="2352"/>
      <c r="S25" s="2352"/>
      <c r="T25" s="2352"/>
      <c r="U25" s="2352"/>
      <c r="V25" s="2352"/>
      <c r="W25" s="2352"/>
    </row>
    <row r="26" spans="1:23" ht="17.5" hidden="1" x14ac:dyDescent="0.35">
      <c r="A26" s="2352"/>
      <c r="B26" s="2352"/>
      <c r="C26" s="2352"/>
      <c r="D26" s="2352"/>
      <c r="E26" s="2352"/>
      <c r="F26" s="2352"/>
      <c r="G26" s="2352"/>
      <c r="H26" s="2352"/>
      <c r="I26" s="2352"/>
      <c r="J26" s="2352"/>
      <c r="K26" s="2352"/>
      <c r="L26" s="2352"/>
    </row>
    <row r="27" spans="1:23" ht="17.5" x14ac:dyDescent="0.35">
      <c r="A27" s="2352" t="s">
        <v>992</v>
      </c>
      <c r="B27" s="2352"/>
      <c r="C27" s="2352"/>
      <c r="D27" s="2352"/>
      <c r="E27" s="2352"/>
      <c r="F27" s="2352"/>
      <c r="G27" s="2352"/>
      <c r="H27" s="2352"/>
      <c r="I27" s="2352"/>
      <c r="J27" s="2352"/>
      <c r="K27" s="2352"/>
      <c r="L27" s="2352"/>
      <c r="M27" s="2352"/>
      <c r="N27" s="2352"/>
      <c r="O27" s="2352"/>
      <c r="P27" s="2352"/>
      <c r="Q27" s="2352"/>
      <c r="R27" s="2352"/>
      <c r="S27" s="2352"/>
      <c r="T27" s="2352"/>
      <c r="U27" s="2352"/>
      <c r="V27" s="2352"/>
      <c r="W27" s="2352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461"/>
      <c r="L28" s="2461"/>
      <c r="R28" s="2602"/>
      <c r="S28" s="2602"/>
      <c r="T28" s="2602" t="s">
        <v>631</v>
      </c>
      <c r="U28" s="2602"/>
      <c r="W28" s="541" t="s">
        <v>631</v>
      </c>
    </row>
    <row r="29" spans="1:23" x14ac:dyDescent="0.35">
      <c r="A29" s="2457" t="s">
        <v>632</v>
      </c>
      <c r="B29" s="2458"/>
      <c r="C29" s="2459"/>
      <c r="D29" s="2467" t="s">
        <v>633</v>
      </c>
      <c r="E29" s="2468"/>
      <c r="F29" s="2468"/>
      <c r="G29" s="2468"/>
      <c r="H29" s="2468"/>
      <c r="I29" s="2468"/>
      <c r="J29" s="2353"/>
      <c r="K29" s="2467" t="s">
        <v>843</v>
      </c>
      <c r="L29" s="2353"/>
      <c r="M29" s="2589" t="s">
        <v>635</v>
      </c>
      <c r="N29" s="2599" t="s">
        <v>636</v>
      </c>
      <c r="O29" s="2599" t="s">
        <v>637</v>
      </c>
      <c r="P29" s="2589" t="s">
        <v>638</v>
      </c>
      <c r="Q29" s="2591" t="s">
        <v>639</v>
      </c>
      <c r="R29" s="2593" t="s">
        <v>634</v>
      </c>
      <c r="S29" s="2594"/>
      <c r="T29" s="2593" t="s">
        <v>640</v>
      </c>
      <c r="U29" s="2594"/>
      <c r="V29" s="2353" t="s">
        <v>894</v>
      </c>
      <c r="W29" s="2353" t="s">
        <v>993</v>
      </c>
    </row>
    <row r="30" spans="1:23" ht="16" thickBot="1" x14ac:dyDescent="0.4">
      <c r="A30" s="2460" t="s">
        <v>641</v>
      </c>
      <c r="B30" s="2461"/>
      <c r="C30" s="2462"/>
      <c r="D30" s="2469"/>
      <c r="E30" s="2470"/>
      <c r="F30" s="2470"/>
      <c r="G30" s="2470"/>
      <c r="H30" s="2470"/>
      <c r="I30" s="2470"/>
      <c r="J30" s="2354"/>
      <c r="K30" s="2469"/>
      <c r="L30" s="2354"/>
      <c r="M30" s="2590"/>
      <c r="N30" s="2600"/>
      <c r="O30" s="2600"/>
      <c r="P30" s="2590"/>
      <c r="Q30" s="2592"/>
      <c r="R30" s="2595"/>
      <c r="S30" s="2596"/>
      <c r="T30" s="2595"/>
      <c r="U30" s="2596"/>
      <c r="V30" s="2354"/>
      <c r="W30" s="2354"/>
    </row>
    <row r="31" spans="1:23" ht="16" thickBot="1" x14ac:dyDescent="0.4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2555">
        <v>3</v>
      </c>
      <c r="L31" s="2557"/>
      <c r="M31" s="1735"/>
      <c r="N31" s="1735"/>
      <c r="O31" s="1735"/>
      <c r="P31" s="1735"/>
      <c r="Q31" s="879"/>
      <c r="R31" s="2597">
        <v>3</v>
      </c>
      <c r="S31" s="2598"/>
      <c r="T31" s="2597">
        <v>3</v>
      </c>
      <c r="U31" s="2598"/>
      <c r="V31" s="1726">
        <v>4</v>
      </c>
      <c r="W31" s="1726">
        <v>5</v>
      </c>
    </row>
    <row r="32" spans="1:23" ht="15.65" customHeight="1" x14ac:dyDescent="0.25">
      <c r="A32" s="2407" t="s">
        <v>642</v>
      </c>
      <c r="B32" s="2408"/>
      <c r="C32" s="2409"/>
      <c r="D32" s="2583" t="s">
        <v>643</v>
      </c>
      <c r="E32" s="2584"/>
      <c r="F32" s="2584"/>
      <c r="G32" s="2584"/>
      <c r="H32" s="2584"/>
      <c r="I32" s="2584"/>
      <c r="J32" s="2585"/>
      <c r="K32" s="2547">
        <f>K34+K38+K41+K45+K51+K57+K76+K82+K94+K98</f>
        <v>76122.440999999992</v>
      </c>
      <c r="L32" s="2355"/>
      <c r="M32" s="2372">
        <v>17235.358</v>
      </c>
      <c r="N32" s="2372"/>
      <c r="O32" s="2372"/>
      <c r="P32" s="2372">
        <f>P34+P45+P51+P57+P76+P82+P98</f>
        <v>24582.394</v>
      </c>
      <c r="Q32" s="2372">
        <v>20829</v>
      </c>
      <c r="R32" s="2540">
        <f>R34+R45+R51+R57+R76+R82+R98+R41+R38+R94</f>
        <v>73596.200000000012</v>
      </c>
      <c r="S32" s="2541"/>
      <c r="T32" s="2540">
        <f>T34+T45+T51+T57+T76+T82+T98+T41+T38+T94</f>
        <v>75660.700000000012</v>
      </c>
      <c r="U32" s="2541"/>
      <c r="V32" s="2355">
        <f>V34+V38+V41+V45+V51+V57+V76+V82+V94+V98</f>
        <v>77856.865000000005</v>
      </c>
      <c r="W32" s="2355">
        <f>W34+W38+W41+W45+W51+W57+W76+W82+W94+W98</f>
        <v>79559.585999999996</v>
      </c>
    </row>
    <row r="33" spans="1:23" ht="13.9" customHeight="1" thickBot="1" x14ac:dyDescent="0.3">
      <c r="A33" s="2410"/>
      <c r="B33" s="2411"/>
      <c r="C33" s="2412"/>
      <c r="D33" s="2586"/>
      <c r="E33" s="2587"/>
      <c r="F33" s="2587"/>
      <c r="G33" s="2587"/>
      <c r="H33" s="2587"/>
      <c r="I33" s="2587"/>
      <c r="J33" s="2588"/>
      <c r="K33" s="2548"/>
      <c r="L33" s="2356"/>
      <c r="M33" s="2372"/>
      <c r="N33" s="2372"/>
      <c r="O33" s="2372"/>
      <c r="P33" s="2372"/>
      <c r="Q33" s="2372"/>
      <c r="R33" s="2542"/>
      <c r="S33" s="2543"/>
      <c r="T33" s="2542"/>
      <c r="U33" s="2543"/>
      <c r="V33" s="2356"/>
      <c r="W33" s="2356"/>
    </row>
    <row r="34" spans="1:23" ht="15" x14ac:dyDescent="0.3">
      <c r="A34" s="976" t="s">
        <v>644</v>
      </c>
      <c r="B34" s="977"/>
      <c r="C34" s="978"/>
      <c r="D34" s="2583" t="s">
        <v>645</v>
      </c>
      <c r="E34" s="2584"/>
      <c r="F34" s="2584"/>
      <c r="G34" s="2584"/>
      <c r="H34" s="2584"/>
      <c r="I34" s="2584"/>
      <c r="J34" s="2585"/>
      <c r="K34" s="2547">
        <f>K36</f>
        <v>35367.445</v>
      </c>
      <c r="L34" s="2355"/>
      <c r="M34" s="2372">
        <v>4523.7</v>
      </c>
      <c r="N34" s="2372"/>
      <c r="O34" s="2372"/>
      <c r="P34" s="2372">
        <f>P36</f>
        <v>5592.7</v>
      </c>
      <c r="Q34" s="2582">
        <v>4938.4639999999999</v>
      </c>
      <c r="R34" s="2540">
        <f>R36</f>
        <v>25200</v>
      </c>
      <c r="S34" s="2541"/>
      <c r="T34" s="2540">
        <f>T36</f>
        <v>26208</v>
      </c>
      <c r="U34" s="2541"/>
      <c r="V34" s="2355">
        <f>V36</f>
        <v>36782.142999999996</v>
      </c>
      <c r="W34" s="2355">
        <f>W36</f>
        <v>38253.428</v>
      </c>
    </row>
    <row r="35" spans="1:23" thickBot="1" x14ac:dyDescent="0.35">
      <c r="A35" s="979" t="s">
        <v>646</v>
      </c>
      <c r="B35" s="980"/>
      <c r="C35" s="981"/>
      <c r="D35" s="2586"/>
      <c r="E35" s="2587"/>
      <c r="F35" s="2587"/>
      <c r="G35" s="2587"/>
      <c r="H35" s="2587"/>
      <c r="I35" s="2587"/>
      <c r="J35" s="2588"/>
      <c r="K35" s="2548"/>
      <c r="L35" s="2356"/>
      <c r="M35" s="2372"/>
      <c r="N35" s="2372"/>
      <c r="O35" s="2372"/>
      <c r="P35" s="2372"/>
      <c r="Q35" s="2582"/>
      <c r="R35" s="2542"/>
      <c r="S35" s="2543"/>
      <c r="T35" s="2542"/>
      <c r="U35" s="2543"/>
      <c r="V35" s="2356"/>
      <c r="W35" s="2356"/>
    </row>
    <row r="36" spans="1:23" x14ac:dyDescent="0.35">
      <c r="A36" s="2457" t="s">
        <v>647</v>
      </c>
      <c r="B36" s="2458"/>
      <c r="C36" s="2459"/>
      <c r="D36" s="982"/>
      <c r="E36" s="983"/>
      <c r="F36" s="983"/>
      <c r="G36" s="983"/>
      <c r="H36" s="983"/>
      <c r="I36" s="983"/>
      <c r="J36" s="984"/>
      <c r="K36" s="2544">
        <v>35367.445</v>
      </c>
      <c r="L36" s="2357"/>
      <c r="M36" s="2372">
        <v>4523.7</v>
      </c>
      <c r="N36" s="2372">
        <v>534.5</v>
      </c>
      <c r="O36" s="2372">
        <v>534.5</v>
      </c>
      <c r="P36" s="2372">
        <f>M36+N36+O36</f>
        <v>5592.7</v>
      </c>
      <c r="Q36" s="2582">
        <v>4938.4639999999999</v>
      </c>
      <c r="R36" s="2549">
        <v>25200</v>
      </c>
      <c r="S36" s="2550"/>
      <c r="T36" s="2549">
        <v>26208</v>
      </c>
      <c r="U36" s="2550"/>
      <c r="V36" s="2357">
        <v>36782.142999999996</v>
      </c>
      <c r="W36" s="2357">
        <v>38253.428</v>
      </c>
    </row>
    <row r="37" spans="1:23" ht="16" thickBot="1" x14ac:dyDescent="0.4">
      <c r="A37" s="2460"/>
      <c r="B37" s="2461"/>
      <c r="C37" s="2462"/>
      <c r="D37" s="985" t="s">
        <v>648</v>
      </c>
      <c r="E37" s="986"/>
      <c r="F37" s="986"/>
      <c r="G37" s="986"/>
      <c r="H37" s="986"/>
      <c r="I37" s="986"/>
      <c r="J37" s="987"/>
      <c r="K37" s="2546"/>
      <c r="L37" s="2358"/>
      <c r="M37" s="2372"/>
      <c r="N37" s="2372"/>
      <c r="O37" s="2372"/>
      <c r="P37" s="2372"/>
      <c r="Q37" s="2582"/>
      <c r="R37" s="2553"/>
      <c r="S37" s="2554"/>
      <c r="T37" s="2553"/>
      <c r="U37" s="2554"/>
      <c r="V37" s="2358"/>
      <c r="W37" s="2358"/>
    </row>
    <row r="38" spans="1:23" ht="15.65" customHeight="1" x14ac:dyDescent="0.25">
      <c r="A38" s="2479" t="s">
        <v>649</v>
      </c>
      <c r="B38" s="2480"/>
      <c r="C38" s="2481"/>
      <c r="D38" s="2576" t="s">
        <v>650</v>
      </c>
      <c r="E38" s="2577"/>
      <c r="F38" s="2577"/>
      <c r="G38" s="2577"/>
      <c r="H38" s="2577"/>
      <c r="I38" s="2577"/>
      <c r="J38" s="2578"/>
      <c r="K38" s="2547">
        <f>K40</f>
        <v>948.322</v>
      </c>
      <c r="L38" s="2355"/>
      <c r="M38" s="2372">
        <v>9794</v>
      </c>
      <c r="N38" s="2372"/>
      <c r="O38" s="2372"/>
      <c r="P38" s="2372" t="e">
        <f>#REF!+P41+P42</f>
        <v>#REF!</v>
      </c>
      <c r="Q38" s="2566">
        <v>12087.288329999999</v>
      </c>
      <c r="R38" s="2540">
        <f>R40</f>
        <v>0</v>
      </c>
      <c r="S38" s="2541"/>
      <c r="T38" s="2540">
        <f>T40</f>
        <v>0</v>
      </c>
      <c r="U38" s="2541"/>
      <c r="V38" s="2355">
        <f>V40</f>
        <v>948.322</v>
      </c>
      <c r="W38" s="2355"/>
    </row>
    <row r="39" spans="1:23" ht="16.149999999999999" customHeight="1" thickBot="1" x14ac:dyDescent="0.3">
      <c r="A39" s="2482"/>
      <c r="B39" s="2483"/>
      <c r="C39" s="2484"/>
      <c r="D39" s="2579"/>
      <c r="E39" s="2580"/>
      <c r="F39" s="2580"/>
      <c r="G39" s="2580"/>
      <c r="H39" s="2580"/>
      <c r="I39" s="2580"/>
      <c r="J39" s="2581"/>
      <c r="K39" s="2548"/>
      <c r="L39" s="2356"/>
      <c r="M39" s="2372"/>
      <c r="N39" s="2372"/>
      <c r="O39" s="2372"/>
      <c r="P39" s="2372"/>
      <c r="Q39" s="2566"/>
      <c r="R39" s="2542"/>
      <c r="S39" s="2543"/>
      <c r="T39" s="2542"/>
      <c r="U39" s="2543"/>
      <c r="V39" s="2356"/>
      <c r="W39" s="2356"/>
    </row>
    <row r="40" spans="1:23" ht="31.15" customHeight="1" thickBot="1" x14ac:dyDescent="0.4">
      <c r="A40" s="2570" t="s">
        <v>651</v>
      </c>
      <c r="B40" s="2571"/>
      <c r="C40" s="2572"/>
      <c r="D40" s="2573" t="s">
        <v>652</v>
      </c>
      <c r="E40" s="2574"/>
      <c r="F40" s="2574"/>
      <c r="G40" s="2574"/>
      <c r="H40" s="2574"/>
      <c r="I40" s="2574"/>
      <c r="J40" s="2575"/>
      <c r="K40" s="2558">
        <v>948.322</v>
      </c>
      <c r="L40" s="2559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2560"/>
      <c r="S40" s="2561"/>
      <c r="T40" s="2560"/>
      <c r="U40" s="2561"/>
      <c r="V40" s="1731">
        <v>948.322</v>
      </c>
      <c r="W40" s="1731"/>
    </row>
    <row r="41" spans="1:23" ht="15.65" customHeight="1" x14ac:dyDescent="0.25">
      <c r="A41" s="2479" t="s">
        <v>653</v>
      </c>
      <c r="B41" s="2480"/>
      <c r="C41" s="2481"/>
      <c r="D41" s="2485" t="s">
        <v>654</v>
      </c>
      <c r="E41" s="2486"/>
      <c r="F41" s="2486"/>
      <c r="G41" s="2486"/>
      <c r="H41" s="2486"/>
      <c r="I41" s="2486"/>
      <c r="J41" s="2487"/>
      <c r="K41" s="2547">
        <f>K44</f>
        <v>509</v>
      </c>
      <c r="L41" s="2355"/>
      <c r="M41" s="2372">
        <v>9794</v>
      </c>
      <c r="N41" s="2372"/>
      <c r="O41" s="2372"/>
      <c r="P41" s="2372">
        <f>P44+P45+P46</f>
        <v>15318</v>
      </c>
      <c r="Q41" s="2566">
        <v>12087.288329999999</v>
      </c>
      <c r="R41" s="2540">
        <f>R44</f>
        <v>75.8</v>
      </c>
      <c r="S41" s="2541"/>
      <c r="T41" s="2540">
        <f>T44</f>
        <v>80</v>
      </c>
      <c r="U41" s="2541"/>
      <c r="V41" s="2355">
        <f>V44</f>
        <v>529.36</v>
      </c>
      <c r="W41" s="2355">
        <f>W44</f>
        <v>563.81600000000003</v>
      </c>
    </row>
    <row r="42" spans="1:23" ht="16.149999999999999" customHeight="1" thickBot="1" x14ac:dyDescent="0.3">
      <c r="A42" s="2482"/>
      <c r="B42" s="2483"/>
      <c r="C42" s="2484"/>
      <c r="D42" s="2488"/>
      <c r="E42" s="2489"/>
      <c r="F42" s="2489"/>
      <c r="G42" s="2489"/>
      <c r="H42" s="2489"/>
      <c r="I42" s="2489"/>
      <c r="J42" s="2490"/>
      <c r="K42" s="2548"/>
      <c r="L42" s="2356"/>
      <c r="M42" s="2372"/>
      <c r="N42" s="2372"/>
      <c r="O42" s="2372"/>
      <c r="P42" s="2372"/>
      <c r="Q42" s="2566"/>
      <c r="R42" s="2542"/>
      <c r="S42" s="2543"/>
      <c r="T42" s="2542"/>
      <c r="U42" s="2543"/>
      <c r="V42" s="2356"/>
      <c r="W42" s="2356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" thickBot="1" x14ac:dyDescent="0.4">
      <c r="A44" s="2555" t="s">
        <v>655</v>
      </c>
      <c r="B44" s="2556"/>
      <c r="C44" s="2557"/>
      <c r="D44" s="2567" t="s">
        <v>656</v>
      </c>
      <c r="E44" s="2568"/>
      <c r="F44" s="2568"/>
      <c r="G44" s="2568"/>
      <c r="H44" s="2568"/>
      <c r="I44" s="2568"/>
      <c r="J44" s="2569"/>
      <c r="K44" s="2558">
        <v>509</v>
      </c>
      <c r="L44" s="2559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2560">
        <v>75.8</v>
      </c>
      <c r="S44" s="2561"/>
      <c r="T44" s="2560">
        <v>80</v>
      </c>
      <c r="U44" s="2561"/>
      <c r="V44" s="1731">
        <v>529.36</v>
      </c>
      <c r="W44" s="1731">
        <v>563.81600000000003</v>
      </c>
    </row>
    <row r="45" spans="1:23" ht="15.65" customHeight="1" x14ac:dyDescent="0.25">
      <c r="A45" s="2479" t="s">
        <v>657</v>
      </c>
      <c r="B45" s="2480"/>
      <c r="C45" s="2481"/>
      <c r="D45" s="2485" t="s">
        <v>658</v>
      </c>
      <c r="E45" s="2486"/>
      <c r="F45" s="2486"/>
      <c r="G45" s="2486"/>
      <c r="H45" s="2486"/>
      <c r="I45" s="2486"/>
      <c r="J45" s="2487"/>
      <c r="K45" s="2547">
        <f>K48+K50+K49</f>
        <v>36986.9</v>
      </c>
      <c r="L45" s="2355"/>
      <c r="M45" s="2372">
        <v>9794</v>
      </c>
      <c r="N45" s="2372"/>
      <c r="O45" s="2372"/>
      <c r="P45" s="2372">
        <f>P48+P49+P50</f>
        <v>15194</v>
      </c>
      <c r="Q45" s="2566">
        <v>12087.288329999999</v>
      </c>
      <c r="R45" s="2540">
        <f>R48+R50+R49</f>
        <v>44797.8</v>
      </c>
      <c r="S45" s="2541"/>
      <c r="T45" s="2540">
        <f>T48+T50+T49</f>
        <v>46588.6</v>
      </c>
      <c r="U45" s="2541"/>
      <c r="V45" s="2355">
        <f>V48+V50</f>
        <v>37760.94</v>
      </c>
      <c r="W45" s="2355">
        <f>W48+W50</f>
        <v>38867.346000000005</v>
      </c>
    </row>
    <row r="46" spans="1:23" ht="16.149999999999999" customHeight="1" thickBot="1" x14ac:dyDescent="0.3">
      <c r="A46" s="2482"/>
      <c r="B46" s="2483"/>
      <c r="C46" s="2484"/>
      <c r="D46" s="2488"/>
      <c r="E46" s="2489"/>
      <c r="F46" s="2489"/>
      <c r="G46" s="2489"/>
      <c r="H46" s="2489"/>
      <c r="I46" s="2489"/>
      <c r="J46" s="2490"/>
      <c r="K46" s="2548"/>
      <c r="L46" s="2356"/>
      <c r="M46" s="2372"/>
      <c r="N46" s="2372"/>
      <c r="O46" s="2372"/>
      <c r="P46" s="2372"/>
      <c r="Q46" s="2566"/>
      <c r="R46" s="2542"/>
      <c r="S46" s="2543"/>
      <c r="T46" s="2542"/>
      <c r="U46" s="2543"/>
      <c r="V46" s="2356"/>
      <c r="W46" s="2356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" thickBot="1" x14ac:dyDescent="0.4">
      <c r="A48" s="2555" t="s">
        <v>659</v>
      </c>
      <c r="B48" s="2556"/>
      <c r="C48" s="2557"/>
      <c r="D48" s="972" t="s">
        <v>660</v>
      </c>
      <c r="E48" s="975"/>
      <c r="F48" s="975"/>
      <c r="G48" s="975"/>
      <c r="H48" s="975"/>
      <c r="I48" s="975"/>
      <c r="J48" s="974"/>
      <c r="K48" s="2558">
        <v>5166</v>
      </c>
      <c r="L48" s="2559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2560">
        <v>3816</v>
      </c>
      <c r="S48" s="2561"/>
      <c r="T48" s="2560">
        <v>3968.6</v>
      </c>
      <c r="U48" s="2561"/>
      <c r="V48" s="1731">
        <v>5372.64</v>
      </c>
      <c r="W48" s="1731">
        <v>5587.5460000000003</v>
      </c>
    </row>
    <row r="49" spans="1:23" ht="15.65" hidden="1" customHeight="1" thickBot="1" x14ac:dyDescent="0.4">
      <c r="A49" s="2555" t="s">
        <v>661</v>
      </c>
      <c r="B49" s="2556"/>
      <c r="C49" s="2557"/>
      <c r="D49" s="996" t="s">
        <v>662</v>
      </c>
      <c r="E49" s="997"/>
      <c r="F49" s="997"/>
      <c r="G49" s="997"/>
      <c r="H49" s="997"/>
      <c r="I49" s="997"/>
      <c r="J49" s="998"/>
      <c r="K49" s="2558"/>
      <c r="L49" s="2559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2560">
        <v>9783.7999999999993</v>
      </c>
      <c r="S49" s="2561"/>
      <c r="T49" s="2560">
        <v>10175</v>
      </c>
      <c r="U49" s="2561"/>
      <c r="V49" s="1731"/>
      <c r="W49" s="1731"/>
    </row>
    <row r="50" spans="1:23" ht="16" thickBot="1" x14ac:dyDescent="0.4">
      <c r="A50" s="2555" t="s">
        <v>663</v>
      </c>
      <c r="B50" s="2556"/>
      <c r="C50" s="2557"/>
      <c r="D50" s="972" t="s">
        <v>664</v>
      </c>
      <c r="E50" s="975"/>
      <c r="F50" s="975"/>
      <c r="G50" s="975"/>
      <c r="H50" s="975"/>
      <c r="I50" s="975"/>
      <c r="J50" s="974"/>
      <c r="K50" s="2558">
        <v>31820.9</v>
      </c>
      <c r="L50" s="2559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2560">
        <v>31198</v>
      </c>
      <c r="S50" s="2561"/>
      <c r="T50" s="2560">
        <v>32445</v>
      </c>
      <c r="U50" s="2561"/>
      <c r="V50" s="1731">
        <v>32388.3</v>
      </c>
      <c r="W50" s="1731">
        <v>33279.800000000003</v>
      </c>
    </row>
    <row r="51" spans="1:23" ht="15.65" customHeight="1" x14ac:dyDescent="0.25">
      <c r="A51" s="2479" t="s">
        <v>665</v>
      </c>
      <c r="B51" s="2480"/>
      <c r="C51" s="2481"/>
      <c r="D51" s="2485" t="s">
        <v>666</v>
      </c>
      <c r="E51" s="2486"/>
      <c r="F51" s="2486"/>
      <c r="G51" s="2486"/>
      <c r="H51" s="2486"/>
      <c r="I51" s="2486"/>
      <c r="J51" s="2487"/>
      <c r="K51" s="2547">
        <f>K53</f>
        <v>5</v>
      </c>
      <c r="L51" s="2355"/>
      <c r="M51" s="2372">
        <v>17</v>
      </c>
      <c r="N51" s="2372"/>
      <c r="O51" s="2372"/>
      <c r="P51" s="2372">
        <f>M51+N51+O51</f>
        <v>17</v>
      </c>
      <c r="Q51" s="2372">
        <v>3.9649999999999999</v>
      </c>
      <c r="R51" s="2540">
        <f>R53</f>
        <v>8</v>
      </c>
      <c r="S51" s="2541"/>
      <c r="T51" s="2540">
        <f>T53</f>
        <v>10</v>
      </c>
      <c r="U51" s="2541"/>
      <c r="V51" s="2355">
        <v>5</v>
      </c>
      <c r="W51" s="2355">
        <v>5</v>
      </c>
    </row>
    <row r="52" spans="1:23" ht="13.9" customHeight="1" thickBot="1" x14ac:dyDescent="0.3">
      <c r="A52" s="2482"/>
      <c r="B52" s="2483"/>
      <c r="C52" s="2484"/>
      <c r="D52" s="2488"/>
      <c r="E52" s="2489"/>
      <c r="F52" s="2489"/>
      <c r="G52" s="2489"/>
      <c r="H52" s="2489"/>
      <c r="I52" s="2489"/>
      <c r="J52" s="2490"/>
      <c r="K52" s="2548"/>
      <c r="L52" s="2356"/>
      <c r="M52" s="2372"/>
      <c r="N52" s="2372"/>
      <c r="O52" s="2372"/>
      <c r="P52" s="2372"/>
      <c r="Q52" s="2372"/>
      <c r="R52" s="2542"/>
      <c r="S52" s="2543"/>
      <c r="T52" s="2542"/>
      <c r="U52" s="2543"/>
      <c r="V52" s="2356"/>
      <c r="W52" s="2356"/>
    </row>
    <row r="53" spans="1:23" x14ac:dyDescent="0.35">
      <c r="A53" s="2467" t="s">
        <v>667</v>
      </c>
      <c r="B53" s="2468"/>
      <c r="C53" s="2353"/>
      <c r="D53" s="982" t="s">
        <v>668</v>
      </c>
      <c r="E53" s="983"/>
      <c r="F53" s="983"/>
      <c r="G53" s="983"/>
      <c r="H53" s="983"/>
      <c r="I53" s="983"/>
      <c r="J53" s="983"/>
      <c r="K53" s="2544">
        <v>5</v>
      </c>
      <c r="L53" s="2357"/>
      <c r="M53" s="2372">
        <v>17</v>
      </c>
      <c r="N53" s="2372"/>
      <c r="O53" s="2372"/>
      <c r="P53" s="2372">
        <f>M53+N53+O53</f>
        <v>17</v>
      </c>
      <c r="Q53" s="2372">
        <v>3.9649999999999999</v>
      </c>
      <c r="R53" s="2549">
        <v>8</v>
      </c>
      <c r="S53" s="2550"/>
      <c r="T53" s="2549">
        <v>10</v>
      </c>
      <c r="U53" s="2550"/>
      <c r="V53" s="2357">
        <v>5</v>
      </c>
      <c r="W53" s="2357">
        <v>5</v>
      </c>
    </row>
    <row r="54" spans="1:23" x14ac:dyDescent="0.35">
      <c r="A54" s="2492"/>
      <c r="B54" s="2493"/>
      <c r="C54" s="2494"/>
      <c r="D54" s="996" t="s">
        <v>669</v>
      </c>
      <c r="E54" s="997"/>
      <c r="F54" s="997"/>
      <c r="G54" s="997"/>
      <c r="H54" s="997"/>
      <c r="I54" s="997"/>
      <c r="J54" s="997"/>
      <c r="K54" s="2545"/>
      <c r="L54" s="2359"/>
      <c r="M54" s="2372"/>
      <c r="N54" s="2372"/>
      <c r="O54" s="2372"/>
      <c r="P54" s="2372"/>
      <c r="Q54" s="2372"/>
      <c r="R54" s="2551"/>
      <c r="S54" s="2552"/>
      <c r="T54" s="2551"/>
      <c r="U54" s="2552"/>
      <c r="V54" s="2359"/>
      <c r="W54" s="2359"/>
    </row>
    <row r="55" spans="1:23" x14ac:dyDescent="0.35">
      <c r="A55" s="2492"/>
      <c r="B55" s="2493"/>
      <c r="C55" s="2494"/>
      <c r="D55" s="996" t="s">
        <v>670</v>
      </c>
      <c r="E55" s="997"/>
      <c r="F55" s="997"/>
      <c r="G55" s="997"/>
      <c r="H55" s="997"/>
      <c r="I55" s="997"/>
      <c r="J55" s="997"/>
      <c r="K55" s="2545"/>
      <c r="L55" s="2359"/>
      <c r="M55" s="2372"/>
      <c r="N55" s="2372"/>
      <c r="O55" s="2372"/>
      <c r="P55" s="2372"/>
      <c r="Q55" s="2372"/>
      <c r="R55" s="2551"/>
      <c r="S55" s="2552"/>
      <c r="T55" s="2551"/>
      <c r="U55" s="2552"/>
      <c r="V55" s="2359"/>
      <c r="W55" s="2359"/>
    </row>
    <row r="56" spans="1:23" ht="16" thickBot="1" x14ac:dyDescent="0.4">
      <c r="A56" s="2469"/>
      <c r="B56" s="2470"/>
      <c r="C56" s="2354"/>
      <c r="D56" s="985" t="s">
        <v>671</v>
      </c>
      <c r="E56" s="986"/>
      <c r="F56" s="986"/>
      <c r="G56" s="986"/>
      <c r="H56" s="986"/>
      <c r="I56" s="986"/>
      <c r="J56" s="986"/>
      <c r="K56" s="2546"/>
      <c r="L56" s="2358"/>
      <c r="M56" s="2372"/>
      <c r="N56" s="2372"/>
      <c r="O56" s="2372"/>
      <c r="P56" s="2372"/>
      <c r="Q56" s="2372"/>
      <c r="R56" s="2553"/>
      <c r="S56" s="2554"/>
      <c r="T56" s="2553"/>
      <c r="U56" s="2554"/>
      <c r="V56" s="2358"/>
      <c r="W56" s="2358"/>
    </row>
    <row r="57" spans="1:23" ht="15" x14ac:dyDescent="0.3">
      <c r="A57" s="2479" t="s">
        <v>672</v>
      </c>
      <c r="B57" s="2480"/>
      <c r="C57" s="2481"/>
      <c r="D57" s="976" t="s">
        <v>673</v>
      </c>
      <c r="E57" s="977"/>
      <c r="F57" s="977"/>
      <c r="G57" s="977"/>
      <c r="H57" s="977"/>
      <c r="I57" s="977"/>
      <c r="J57" s="978"/>
      <c r="K57" s="2449">
        <f>K60+K64+K72+K68</f>
        <v>1723.7</v>
      </c>
      <c r="L57" s="2350"/>
      <c r="M57" s="2372">
        <v>2183.6579999999999</v>
      </c>
      <c r="N57" s="2372"/>
      <c r="O57" s="2372"/>
      <c r="P57" s="2372">
        <f>P60+P64+P72</f>
        <v>2913.6940000000004</v>
      </c>
      <c r="Q57" s="2383">
        <v>2859.2967100000001</v>
      </c>
      <c r="R57" s="2534">
        <f>R60+R64+R72+R68</f>
        <v>1933</v>
      </c>
      <c r="S57" s="2535"/>
      <c r="T57" s="2534">
        <f>T60+T64+T72+T68</f>
        <v>1975</v>
      </c>
      <c r="U57" s="2535"/>
      <c r="V57" s="2350">
        <f>V68+V72</f>
        <v>1761.1</v>
      </c>
      <c r="W57" s="2350">
        <f>W68+W72</f>
        <v>1799.9960000000001</v>
      </c>
    </row>
    <row r="58" spans="1:23" ht="15" x14ac:dyDescent="0.3">
      <c r="A58" s="2531"/>
      <c r="B58" s="2532"/>
      <c r="C58" s="2533"/>
      <c r="D58" s="999" t="s">
        <v>674</v>
      </c>
      <c r="E58" s="1000"/>
      <c r="F58" s="1000"/>
      <c r="G58" s="1000"/>
      <c r="H58" s="1000"/>
      <c r="I58" s="1000"/>
      <c r="J58" s="1001"/>
      <c r="K58" s="2450"/>
      <c r="L58" s="2360"/>
      <c r="M58" s="2372"/>
      <c r="N58" s="2372"/>
      <c r="O58" s="2372"/>
      <c r="P58" s="2372"/>
      <c r="Q58" s="2383"/>
      <c r="R58" s="2536"/>
      <c r="S58" s="2537"/>
      <c r="T58" s="2536"/>
      <c r="U58" s="2537"/>
      <c r="V58" s="2360"/>
      <c r="W58" s="2360"/>
    </row>
    <row r="59" spans="1:23" thickBot="1" x14ac:dyDescent="0.35">
      <c r="A59" s="2482"/>
      <c r="B59" s="2483"/>
      <c r="C59" s="2484"/>
      <c r="D59" s="979" t="s">
        <v>675</v>
      </c>
      <c r="E59" s="980"/>
      <c r="F59" s="980"/>
      <c r="G59" s="980"/>
      <c r="H59" s="980"/>
      <c r="I59" s="980"/>
      <c r="J59" s="981"/>
      <c r="K59" s="2451"/>
      <c r="L59" s="2351"/>
      <c r="M59" s="2372"/>
      <c r="N59" s="2372"/>
      <c r="O59" s="2372"/>
      <c r="P59" s="2372"/>
      <c r="Q59" s="2383"/>
      <c r="R59" s="2538"/>
      <c r="S59" s="2539"/>
      <c r="T59" s="2538"/>
      <c r="U59" s="2539"/>
      <c r="V59" s="2351"/>
      <c r="W59" s="2351"/>
    </row>
    <row r="60" spans="1:23" ht="15.65" hidden="1" customHeight="1" thickBot="1" x14ac:dyDescent="0.4">
      <c r="A60" s="2467" t="s">
        <v>676</v>
      </c>
      <c r="B60" s="2468"/>
      <c r="C60" s="2353"/>
      <c r="D60" s="982" t="s">
        <v>677</v>
      </c>
      <c r="E60" s="983"/>
      <c r="F60" s="983"/>
      <c r="G60" s="983"/>
      <c r="H60" s="983"/>
      <c r="I60" s="983"/>
      <c r="J60" s="984"/>
      <c r="K60" s="2463"/>
      <c r="L60" s="2361"/>
      <c r="M60" s="2372">
        <v>1030</v>
      </c>
      <c r="N60" s="2372">
        <v>140</v>
      </c>
      <c r="O60" s="2372">
        <v>140</v>
      </c>
      <c r="P60" s="2372">
        <f>M60+N60+O60</f>
        <v>1310</v>
      </c>
      <c r="Q60" s="2383">
        <v>1430.7293099999999</v>
      </c>
      <c r="R60" s="2379"/>
      <c r="S60" s="2380"/>
      <c r="T60" s="2379"/>
      <c r="U60" s="2380"/>
      <c r="V60" s="2361"/>
      <c r="W60" s="2361"/>
    </row>
    <row r="61" spans="1:23" ht="15.65" hidden="1" customHeight="1" thickBot="1" x14ac:dyDescent="0.4">
      <c r="A61" s="2492"/>
      <c r="B61" s="2493"/>
      <c r="C61" s="2494"/>
      <c r="D61" s="996" t="s">
        <v>678</v>
      </c>
      <c r="E61" s="997"/>
      <c r="F61" s="997"/>
      <c r="G61" s="997"/>
      <c r="H61" s="997"/>
      <c r="I61" s="997"/>
      <c r="J61" s="998"/>
      <c r="K61" s="2495"/>
      <c r="L61" s="2362"/>
      <c r="M61" s="2372"/>
      <c r="N61" s="2372"/>
      <c r="O61" s="2372"/>
      <c r="P61" s="2372"/>
      <c r="Q61" s="2383"/>
      <c r="R61" s="2381"/>
      <c r="S61" s="2382"/>
      <c r="T61" s="2381"/>
      <c r="U61" s="2382"/>
      <c r="V61" s="2362"/>
      <c r="W61" s="2362"/>
    </row>
    <row r="62" spans="1:23" ht="15.65" hidden="1" customHeight="1" thickBot="1" x14ac:dyDescent="0.4">
      <c r="A62" s="2492"/>
      <c r="B62" s="2493"/>
      <c r="C62" s="2494"/>
      <c r="D62" s="996" t="s">
        <v>679</v>
      </c>
      <c r="E62" s="997"/>
      <c r="F62" s="997"/>
      <c r="G62" s="997"/>
      <c r="H62" s="997"/>
      <c r="I62" s="997"/>
      <c r="J62" s="998"/>
      <c r="K62" s="2495"/>
      <c r="L62" s="2362"/>
      <c r="M62" s="2372"/>
      <c r="N62" s="2372"/>
      <c r="O62" s="2372"/>
      <c r="P62" s="2372"/>
      <c r="Q62" s="2383"/>
      <c r="R62" s="2381"/>
      <c r="S62" s="2382"/>
      <c r="T62" s="2381"/>
      <c r="U62" s="2382"/>
      <c r="V62" s="2362"/>
      <c r="W62" s="2362"/>
    </row>
    <row r="63" spans="1:23" ht="15.65" hidden="1" customHeight="1" thickBot="1" x14ac:dyDescent="0.4">
      <c r="A63" s="2469"/>
      <c r="B63" s="2470"/>
      <c r="C63" s="2354"/>
      <c r="D63" s="985" t="s">
        <v>680</v>
      </c>
      <c r="E63" s="986"/>
      <c r="F63" s="986"/>
      <c r="G63" s="986"/>
      <c r="H63" s="986"/>
      <c r="I63" s="986"/>
      <c r="J63" s="987"/>
      <c r="K63" s="2464"/>
      <c r="L63" s="2363"/>
      <c r="M63" s="2372"/>
      <c r="N63" s="2372"/>
      <c r="O63" s="2372"/>
      <c r="P63" s="2372"/>
      <c r="Q63" s="2383"/>
      <c r="R63" s="2389"/>
      <c r="S63" s="2390"/>
      <c r="T63" s="2389"/>
      <c r="U63" s="2390"/>
      <c r="V63" s="2363"/>
      <c r="W63" s="2363"/>
    </row>
    <row r="64" spans="1:23" ht="15.65" hidden="1" customHeight="1" thickBot="1" x14ac:dyDescent="0.4">
      <c r="A64" s="2467" t="s">
        <v>681</v>
      </c>
      <c r="B64" s="2468"/>
      <c r="C64" s="2353"/>
      <c r="D64" s="982" t="s">
        <v>682</v>
      </c>
      <c r="E64" s="983"/>
      <c r="F64" s="983"/>
      <c r="G64" s="983"/>
      <c r="H64" s="983"/>
      <c r="I64" s="983"/>
      <c r="J64" s="984"/>
      <c r="K64" s="2463"/>
      <c r="L64" s="2361"/>
      <c r="M64" s="2372">
        <v>928.55</v>
      </c>
      <c r="N64" s="2372">
        <v>200</v>
      </c>
      <c r="O64" s="2372">
        <v>200</v>
      </c>
      <c r="P64" s="2372">
        <f>M64+N64+O64</f>
        <v>1328.55</v>
      </c>
      <c r="Q64" s="2383">
        <v>1007.7294000000001</v>
      </c>
      <c r="R64" s="2379"/>
      <c r="S64" s="2380"/>
      <c r="T64" s="2379"/>
      <c r="U64" s="2380"/>
      <c r="V64" s="2361"/>
      <c r="W64" s="2361"/>
    </row>
    <row r="65" spans="1:23" ht="14.25" hidden="1" customHeight="1" x14ac:dyDescent="0.35">
      <c r="A65" s="2492"/>
      <c r="B65" s="2493"/>
      <c r="C65" s="2494"/>
      <c r="D65" s="996" t="s">
        <v>683</v>
      </c>
      <c r="E65" s="997"/>
      <c r="F65" s="997"/>
      <c r="G65" s="997"/>
      <c r="H65" s="997"/>
      <c r="I65" s="997"/>
      <c r="J65" s="998"/>
      <c r="K65" s="2495"/>
      <c r="L65" s="2362"/>
      <c r="M65" s="2372"/>
      <c r="N65" s="2372"/>
      <c r="O65" s="2372"/>
      <c r="P65" s="2372"/>
      <c r="Q65" s="2383"/>
      <c r="R65" s="2381"/>
      <c r="S65" s="2382"/>
      <c r="T65" s="2381"/>
      <c r="U65" s="2382"/>
      <c r="V65" s="2362"/>
      <c r="W65" s="2362"/>
    </row>
    <row r="66" spans="1:23" ht="15.75" hidden="1" customHeight="1" x14ac:dyDescent="0.35">
      <c r="A66" s="2492"/>
      <c r="B66" s="2493"/>
      <c r="C66" s="2494"/>
      <c r="D66" s="996" t="s">
        <v>684</v>
      </c>
      <c r="E66" s="997"/>
      <c r="F66" s="997"/>
      <c r="G66" s="997"/>
      <c r="H66" s="997"/>
      <c r="I66" s="997"/>
      <c r="J66" s="998"/>
      <c r="K66" s="2495"/>
      <c r="L66" s="2362"/>
      <c r="M66" s="2372"/>
      <c r="N66" s="2372"/>
      <c r="O66" s="2372"/>
      <c r="P66" s="2372"/>
      <c r="Q66" s="2383"/>
      <c r="R66" s="2381"/>
      <c r="S66" s="2382"/>
      <c r="T66" s="2381"/>
      <c r="U66" s="2382"/>
      <c r="V66" s="2362"/>
      <c r="W66" s="2362"/>
    </row>
    <row r="67" spans="1:23" ht="15.75" hidden="1" customHeight="1" thickBot="1" x14ac:dyDescent="0.4">
      <c r="A67" s="2469"/>
      <c r="B67" s="2470"/>
      <c r="C67" s="2354"/>
      <c r="D67" s="985" t="s">
        <v>685</v>
      </c>
      <c r="E67" s="986"/>
      <c r="F67" s="986"/>
      <c r="G67" s="986"/>
      <c r="H67" s="986"/>
      <c r="I67" s="986"/>
      <c r="J67" s="987"/>
      <c r="K67" s="2464"/>
      <c r="L67" s="2363"/>
      <c r="M67" s="2372"/>
      <c r="N67" s="2372"/>
      <c r="O67" s="2372"/>
      <c r="P67" s="2372"/>
      <c r="Q67" s="2383"/>
      <c r="R67" s="2389"/>
      <c r="S67" s="2390"/>
      <c r="T67" s="2389"/>
      <c r="U67" s="2390"/>
      <c r="V67" s="2363"/>
      <c r="W67" s="2363"/>
    </row>
    <row r="68" spans="1:23" x14ac:dyDescent="0.35">
      <c r="A68" s="2467" t="s">
        <v>686</v>
      </c>
      <c r="B68" s="2468"/>
      <c r="C68" s="2353"/>
      <c r="D68" s="1002"/>
      <c r="E68" s="997"/>
      <c r="F68" s="997"/>
      <c r="G68" s="997"/>
      <c r="H68" s="997"/>
      <c r="I68" s="997"/>
      <c r="J68" s="998"/>
      <c r="K68" s="2463">
        <v>788.7</v>
      </c>
      <c r="L68" s="2361"/>
      <c r="M68" s="2372">
        <v>928.55</v>
      </c>
      <c r="N68" s="2372">
        <v>200</v>
      </c>
      <c r="O68" s="2372">
        <v>200</v>
      </c>
      <c r="P68" s="2372">
        <f>M68+N68+O68</f>
        <v>1328.55</v>
      </c>
      <c r="Q68" s="2383">
        <v>1007.7294000000001</v>
      </c>
      <c r="R68" s="2379">
        <v>1035</v>
      </c>
      <c r="S68" s="2380"/>
      <c r="T68" s="2379">
        <v>1040</v>
      </c>
      <c r="U68" s="2380"/>
      <c r="V68" s="2361">
        <v>788.7</v>
      </c>
      <c r="W68" s="2361">
        <v>788.7</v>
      </c>
    </row>
    <row r="69" spans="1:23" ht="14.25" customHeight="1" x14ac:dyDescent="0.35">
      <c r="A69" s="2492"/>
      <c r="B69" s="2493"/>
      <c r="C69" s="2494"/>
      <c r="D69" s="997" t="s">
        <v>687</v>
      </c>
      <c r="E69" s="997"/>
      <c r="F69" s="997"/>
      <c r="G69" s="997"/>
      <c r="H69" s="997"/>
      <c r="I69" s="997"/>
      <c r="J69" s="998"/>
      <c r="K69" s="2495"/>
      <c r="L69" s="2362"/>
      <c r="M69" s="2372"/>
      <c r="N69" s="2372"/>
      <c r="O69" s="2372"/>
      <c r="P69" s="2372"/>
      <c r="Q69" s="2383"/>
      <c r="R69" s="2381"/>
      <c r="S69" s="2382"/>
      <c r="T69" s="2381"/>
      <c r="U69" s="2382"/>
      <c r="V69" s="2362"/>
      <c r="W69" s="2362"/>
    </row>
    <row r="70" spans="1:23" ht="15.75" customHeight="1" x14ac:dyDescent="0.35">
      <c r="A70" s="2492"/>
      <c r="B70" s="2493"/>
      <c r="C70" s="2494"/>
      <c r="D70" s="997" t="s">
        <v>688</v>
      </c>
      <c r="E70" s="997"/>
      <c r="F70" s="997"/>
      <c r="G70" s="997"/>
      <c r="H70" s="997"/>
      <c r="I70" s="997"/>
      <c r="J70" s="998"/>
      <c r="K70" s="2495"/>
      <c r="L70" s="2362"/>
      <c r="M70" s="2372"/>
      <c r="N70" s="2372"/>
      <c r="O70" s="2372"/>
      <c r="P70" s="2372"/>
      <c r="Q70" s="2383"/>
      <c r="R70" s="2381"/>
      <c r="S70" s="2382"/>
      <c r="T70" s="2381"/>
      <c r="U70" s="2382"/>
      <c r="V70" s="2362"/>
      <c r="W70" s="2362"/>
    </row>
    <row r="71" spans="1:23" ht="15.75" customHeight="1" thickBot="1" x14ac:dyDescent="0.4">
      <c r="A71" s="2469"/>
      <c r="B71" s="2470"/>
      <c r="C71" s="2354"/>
      <c r="D71" s="986"/>
      <c r="E71" s="986"/>
      <c r="F71" s="986"/>
      <c r="G71" s="986"/>
      <c r="H71" s="986"/>
      <c r="I71" s="986"/>
      <c r="J71" s="987"/>
      <c r="K71" s="2464"/>
      <c r="L71" s="2363"/>
      <c r="M71" s="2372"/>
      <c r="N71" s="2372"/>
      <c r="O71" s="2372"/>
      <c r="P71" s="2372"/>
      <c r="Q71" s="2383"/>
      <c r="R71" s="2389"/>
      <c r="S71" s="2390"/>
      <c r="T71" s="2389"/>
      <c r="U71" s="2390"/>
      <c r="V71" s="2363"/>
      <c r="W71" s="2363"/>
    </row>
    <row r="72" spans="1:23" ht="15" customHeight="1" x14ac:dyDescent="0.35">
      <c r="A72" s="2467" t="s">
        <v>689</v>
      </c>
      <c r="B72" s="2468"/>
      <c r="C72" s="2353"/>
      <c r="D72" s="982" t="s">
        <v>690</v>
      </c>
      <c r="E72" s="983"/>
      <c r="F72" s="983"/>
      <c r="G72" s="983"/>
      <c r="H72" s="983"/>
      <c r="I72" s="983"/>
      <c r="J72" s="984"/>
      <c r="K72" s="2463">
        <v>935</v>
      </c>
      <c r="L72" s="2361"/>
      <c r="M72" s="2524">
        <v>225.108</v>
      </c>
      <c r="N72" s="2527">
        <f>24.9+0.118</f>
        <v>25.017999999999997</v>
      </c>
      <c r="O72" s="2527">
        <v>25.018000000000001</v>
      </c>
      <c r="P72" s="2370">
        <f>M72+N72+O72</f>
        <v>275.14400000000001</v>
      </c>
      <c r="Q72" s="2527">
        <v>420.83800000000002</v>
      </c>
      <c r="R72" s="2391">
        <v>898</v>
      </c>
      <c r="S72" s="2392"/>
      <c r="T72" s="2391">
        <v>935</v>
      </c>
      <c r="U72" s="2392"/>
      <c r="V72" s="2361">
        <v>972.4</v>
      </c>
      <c r="W72" s="2361">
        <v>1011.296</v>
      </c>
    </row>
    <row r="73" spans="1:23" ht="13.15" customHeight="1" x14ac:dyDescent="0.35">
      <c r="A73" s="2492"/>
      <c r="B73" s="2493"/>
      <c r="C73" s="2494"/>
      <c r="D73" s="996" t="s">
        <v>691</v>
      </c>
      <c r="E73" s="997"/>
      <c r="F73" s="997"/>
      <c r="G73" s="997"/>
      <c r="H73" s="997"/>
      <c r="I73" s="997"/>
      <c r="J73" s="998"/>
      <c r="K73" s="2495"/>
      <c r="L73" s="2362"/>
      <c r="M73" s="2525"/>
      <c r="N73" s="2528"/>
      <c r="O73" s="2528"/>
      <c r="P73" s="2530"/>
      <c r="Q73" s="2528"/>
      <c r="R73" s="2393"/>
      <c r="S73" s="2394"/>
      <c r="T73" s="2393"/>
      <c r="U73" s="2394"/>
      <c r="V73" s="2362"/>
      <c r="W73" s="2362"/>
    </row>
    <row r="74" spans="1:23" ht="13.15" customHeight="1" x14ac:dyDescent="0.35">
      <c r="A74" s="2492"/>
      <c r="B74" s="2493"/>
      <c r="C74" s="2494"/>
      <c r="D74" s="996" t="s">
        <v>692</v>
      </c>
      <c r="E74" s="997"/>
      <c r="F74" s="997"/>
      <c r="G74" s="997"/>
      <c r="H74" s="997"/>
      <c r="I74" s="997"/>
      <c r="J74" s="998"/>
      <c r="K74" s="2495"/>
      <c r="L74" s="2362"/>
      <c r="M74" s="2525"/>
      <c r="N74" s="2528"/>
      <c r="O74" s="2528"/>
      <c r="P74" s="2530"/>
      <c r="Q74" s="2528"/>
      <c r="R74" s="2393"/>
      <c r="S74" s="2394"/>
      <c r="T74" s="2393"/>
      <c r="U74" s="2394"/>
      <c r="V74" s="2362"/>
      <c r="W74" s="2362"/>
    </row>
    <row r="75" spans="1:23" ht="12.75" customHeight="1" thickBot="1" x14ac:dyDescent="0.4">
      <c r="A75" s="2469"/>
      <c r="B75" s="2470"/>
      <c r="C75" s="2354"/>
      <c r="D75" s="985" t="s">
        <v>693</v>
      </c>
      <c r="E75" s="986"/>
      <c r="F75" s="986"/>
      <c r="G75" s="986"/>
      <c r="H75" s="986"/>
      <c r="I75" s="986"/>
      <c r="J75" s="987"/>
      <c r="K75" s="2464"/>
      <c r="L75" s="2363"/>
      <c r="M75" s="2526"/>
      <c r="N75" s="2529"/>
      <c r="O75" s="2529"/>
      <c r="P75" s="2371"/>
      <c r="Q75" s="2529"/>
      <c r="R75" s="2395"/>
      <c r="S75" s="2396"/>
      <c r="T75" s="2395"/>
      <c r="U75" s="2396"/>
      <c r="V75" s="2363"/>
      <c r="W75" s="2363"/>
    </row>
    <row r="76" spans="1:23" ht="15" x14ac:dyDescent="0.3">
      <c r="A76" s="2479" t="s">
        <v>694</v>
      </c>
      <c r="B76" s="2480"/>
      <c r="C76" s="2481"/>
      <c r="D76" s="976" t="s">
        <v>887</v>
      </c>
      <c r="E76" s="977"/>
      <c r="F76" s="977"/>
      <c r="G76" s="977"/>
      <c r="H76" s="977"/>
      <c r="I76" s="977"/>
      <c r="J76" s="978"/>
      <c r="K76" s="2449">
        <f>K78+K81</f>
        <v>537.07399999999996</v>
      </c>
      <c r="L76" s="2350"/>
      <c r="M76" s="2372">
        <v>97</v>
      </c>
      <c r="N76" s="2372"/>
      <c r="O76" s="2372"/>
      <c r="P76" s="2372">
        <f>P78+P81</f>
        <v>125</v>
      </c>
      <c r="Q76" s="2383">
        <v>435.29176000000001</v>
      </c>
      <c r="R76" s="2385">
        <f>R78+R81</f>
        <v>10.6</v>
      </c>
      <c r="S76" s="2386"/>
      <c r="T76" s="2385">
        <f>T78+T81</f>
        <v>11.1</v>
      </c>
      <c r="U76" s="2386"/>
      <c r="V76" s="2350">
        <f>V81</f>
        <v>25</v>
      </c>
      <c r="W76" s="2350">
        <f>W81</f>
        <v>25</v>
      </c>
    </row>
    <row r="77" spans="1:23" thickBot="1" x14ac:dyDescent="0.35">
      <c r="A77" s="2482"/>
      <c r="B77" s="2483"/>
      <c r="C77" s="2484"/>
      <c r="D77" s="979" t="s">
        <v>695</v>
      </c>
      <c r="E77" s="980"/>
      <c r="F77" s="980"/>
      <c r="G77" s="980"/>
      <c r="H77" s="980"/>
      <c r="I77" s="980"/>
      <c r="J77" s="981"/>
      <c r="K77" s="2451"/>
      <c r="L77" s="2351"/>
      <c r="M77" s="2372"/>
      <c r="N77" s="2372"/>
      <c r="O77" s="2372"/>
      <c r="P77" s="2372"/>
      <c r="Q77" s="2383"/>
      <c r="R77" s="2387"/>
      <c r="S77" s="2388"/>
      <c r="T77" s="2387"/>
      <c r="U77" s="2388"/>
      <c r="V77" s="2351"/>
      <c r="W77" s="2351"/>
    </row>
    <row r="78" spans="1:23" ht="15" hidden="1" customHeight="1" x14ac:dyDescent="0.35">
      <c r="A78" s="2467" t="s">
        <v>696</v>
      </c>
      <c r="B78" s="2468"/>
      <c r="C78" s="2353"/>
      <c r="D78" s="982" t="s">
        <v>697</v>
      </c>
      <c r="E78" s="983"/>
      <c r="F78" s="983"/>
      <c r="G78" s="983"/>
      <c r="H78" s="983"/>
      <c r="I78" s="983"/>
      <c r="J78" s="984"/>
      <c r="K78" s="2463"/>
      <c r="L78" s="2364"/>
      <c r="M78" s="2372">
        <v>69</v>
      </c>
      <c r="N78" s="2372">
        <v>7</v>
      </c>
      <c r="O78" s="2372">
        <v>7</v>
      </c>
      <c r="P78" s="2372">
        <f>M78+N78+O78</f>
        <v>83</v>
      </c>
      <c r="Q78" s="2372">
        <v>0.5</v>
      </c>
      <c r="R78" s="2379"/>
      <c r="S78" s="2519"/>
      <c r="T78" s="2379"/>
      <c r="U78" s="2519"/>
      <c r="V78" s="2364"/>
      <c r="W78" s="2364"/>
    </row>
    <row r="79" spans="1:23" ht="15" hidden="1" customHeight="1" x14ac:dyDescent="0.35">
      <c r="A79" s="2492"/>
      <c r="B79" s="2493"/>
      <c r="C79" s="2494"/>
      <c r="D79" s="996" t="s">
        <v>698</v>
      </c>
      <c r="E79" s="997"/>
      <c r="F79" s="997"/>
      <c r="G79" s="997"/>
      <c r="H79" s="997"/>
      <c r="I79" s="997"/>
      <c r="J79" s="998"/>
      <c r="K79" s="2517"/>
      <c r="L79" s="2365"/>
      <c r="M79" s="2372"/>
      <c r="N79" s="2372"/>
      <c r="O79" s="2372"/>
      <c r="P79" s="2372"/>
      <c r="Q79" s="2372"/>
      <c r="R79" s="2520"/>
      <c r="S79" s="2521"/>
      <c r="T79" s="2520"/>
      <c r="U79" s="2521"/>
      <c r="V79" s="2365"/>
      <c r="W79" s="2365"/>
    </row>
    <row r="80" spans="1:23" ht="7.15" hidden="1" customHeight="1" x14ac:dyDescent="0.35">
      <c r="A80" s="2514"/>
      <c r="B80" s="2515"/>
      <c r="C80" s="2516"/>
      <c r="D80" s="1003"/>
      <c r="E80" s="1004"/>
      <c r="F80" s="1004"/>
      <c r="G80" s="1004"/>
      <c r="H80" s="1004"/>
      <c r="I80" s="1004"/>
      <c r="J80" s="1005"/>
      <c r="K80" s="2518"/>
      <c r="L80" s="2366"/>
      <c r="M80" s="2372"/>
      <c r="N80" s="2372"/>
      <c r="O80" s="2372"/>
      <c r="P80" s="2372"/>
      <c r="Q80" s="2372"/>
      <c r="R80" s="2522"/>
      <c r="S80" s="2523"/>
      <c r="T80" s="2522"/>
      <c r="U80" s="2523"/>
      <c r="V80" s="2366"/>
      <c r="W80" s="2366"/>
    </row>
    <row r="81" spans="1:23" ht="16" thickBot="1" x14ac:dyDescent="0.4">
      <c r="A81" s="2507" t="s">
        <v>699</v>
      </c>
      <c r="B81" s="2508"/>
      <c r="C81" s="2509"/>
      <c r="D81" s="996" t="s">
        <v>700</v>
      </c>
      <c r="E81" s="997"/>
      <c r="F81" s="997"/>
      <c r="G81" s="997"/>
      <c r="H81" s="997"/>
      <c r="I81" s="997"/>
      <c r="J81" s="998"/>
      <c r="K81" s="2510">
        <v>537.07399999999996</v>
      </c>
      <c r="L81" s="2511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2512">
        <v>10.6</v>
      </c>
      <c r="S81" s="2513"/>
      <c r="T81" s="2512">
        <v>11.1</v>
      </c>
      <c r="U81" s="2513"/>
      <c r="V81" s="1817">
        <v>25</v>
      </c>
      <c r="W81" s="1817">
        <v>25</v>
      </c>
    </row>
    <row r="82" spans="1:23" ht="15" hidden="1" x14ac:dyDescent="0.3">
      <c r="A82" s="2479" t="s">
        <v>701</v>
      </c>
      <c r="B82" s="2480"/>
      <c r="C82" s="2481"/>
      <c r="D82" s="976" t="s">
        <v>702</v>
      </c>
      <c r="E82" s="977"/>
      <c r="F82" s="977"/>
      <c r="G82" s="977"/>
      <c r="H82" s="977"/>
      <c r="I82" s="977"/>
      <c r="J82" s="978"/>
      <c r="K82" s="2449">
        <f>K85+K90+K84</f>
        <v>0</v>
      </c>
      <c r="L82" s="2350"/>
      <c r="M82" s="2372">
        <v>530</v>
      </c>
      <c r="N82" s="2372"/>
      <c r="O82" s="2372"/>
      <c r="P82" s="2372">
        <f>P84+P85+P90</f>
        <v>590</v>
      </c>
      <c r="Q82" s="2383">
        <v>375.10428000000002</v>
      </c>
      <c r="R82" s="2385">
        <f>R85+R90+R84</f>
        <v>1540</v>
      </c>
      <c r="S82" s="2386"/>
      <c r="T82" s="2385">
        <f>T85+T90+T84</f>
        <v>755</v>
      </c>
      <c r="U82" s="2386"/>
      <c r="V82" s="2350">
        <f>V85</f>
        <v>0</v>
      </c>
      <c r="W82" s="2350">
        <f>W85</f>
        <v>0</v>
      </c>
    </row>
    <row r="83" spans="1:23" hidden="1" thickBot="1" x14ac:dyDescent="0.35">
      <c r="A83" s="2482"/>
      <c r="B83" s="2483"/>
      <c r="C83" s="2484"/>
      <c r="D83" s="979" t="s">
        <v>703</v>
      </c>
      <c r="E83" s="980"/>
      <c r="F83" s="980"/>
      <c r="G83" s="980"/>
      <c r="H83" s="980"/>
      <c r="I83" s="980"/>
      <c r="J83" s="981"/>
      <c r="K83" s="2451"/>
      <c r="L83" s="2351"/>
      <c r="M83" s="2370"/>
      <c r="N83" s="2370"/>
      <c r="O83" s="2370"/>
      <c r="P83" s="2370"/>
      <c r="Q83" s="2384"/>
      <c r="R83" s="2387"/>
      <c r="S83" s="2388"/>
      <c r="T83" s="2387"/>
      <c r="U83" s="2388"/>
      <c r="V83" s="2351"/>
      <c r="W83" s="2351"/>
    </row>
    <row r="84" spans="1:23" ht="15.65" hidden="1" customHeight="1" x14ac:dyDescent="0.35">
      <c r="A84" s="2500" t="s">
        <v>704</v>
      </c>
      <c r="B84" s="2501"/>
      <c r="C84" s="2502"/>
      <c r="D84" s="1006" t="s">
        <v>705</v>
      </c>
      <c r="E84" s="1007"/>
      <c r="F84" s="1007"/>
      <c r="G84" s="1007"/>
      <c r="H84" s="1007"/>
      <c r="I84" s="1007"/>
      <c r="J84" s="1008"/>
      <c r="K84" s="2503"/>
      <c r="L84" s="2504"/>
      <c r="M84" s="883"/>
      <c r="N84" s="884"/>
      <c r="O84" s="884"/>
      <c r="P84" s="884"/>
      <c r="Q84" s="885">
        <v>62.085000000000001</v>
      </c>
      <c r="R84" s="2505"/>
      <c r="S84" s="2506"/>
      <c r="T84" s="2505"/>
      <c r="U84" s="2506"/>
      <c r="V84" s="1736"/>
      <c r="W84" s="1736"/>
    </row>
    <row r="85" spans="1:23" hidden="1" x14ac:dyDescent="0.35">
      <c r="A85" s="2496" t="s">
        <v>706</v>
      </c>
      <c r="B85" s="2497"/>
      <c r="C85" s="2498"/>
      <c r="D85" s="996" t="s">
        <v>707</v>
      </c>
      <c r="E85" s="997"/>
      <c r="F85" s="997"/>
      <c r="G85" s="997"/>
      <c r="H85" s="997"/>
      <c r="I85" s="997"/>
      <c r="J85" s="998"/>
      <c r="K85" s="2499"/>
      <c r="L85" s="2367"/>
      <c r="M85" s="2371">
        <v>190</v>
      </c>
      <c r="N85" s="2371">
        <v>30</v>
      </c>
      <c r="O85" s="2371">
        <v>30</v>
      </c>
      <c r="P85" s="2371">
        <f>M85+N85+O85</f>
        <v>250</v>
      </c>
      <c r="Q85" s="2491">
        <v>243.4375</v>
      </c>
      <c r="R85" s="2381">
        <v>1540</v>
      </c>
      <c r="S85" s="2382"/>
      <c r="T85" s="2381">
        <v>755</v>
      </c>
      <c r="U85" s="2382"/>
      <c r="V85" s="2367">
        <v>0</v>
      </c>
      <c r="W85" s="2367">
        <v>0</v>
      </c>
    </row>
    <row r="86" spans="1:23" hidden="1" x14ac:dyDescent="0.35">
      <c r="A86" s="2492"/>
      <c r="B86" s="2493"/>
      <c r="C86" s="2494"/>
      <c r="D86" s="996" t="s">
        <v>708</v>
      </c>
      <c r="E86" s="997"/>
      <c r="F86" s="997"/>
      <c r="G86" s="997"/>
      <c r="H86" s="997"/>
      <c r="I86" s="997"/>
      <c r="J86" s="998"/>
      <c r="K86" s="2495"/>
      <c r="L86" s="2362"/>
      <c r="M86" s="2372"/>
      <c r="N86" s="2372"/>
      <c r="O86" s="2372"/>
      <c r="P86" s="2372"/>
      <c r="Q86" s="2383"/>
      <c r="R86" s="2381"/>
      <c r="S86" s="2382"/>
      <c r="T86" s="2381"/>
      <c r="U86" s="2382"/>
      <c r="V86" s="2362"/>
      <c r="W86" s="2362"/>
    </row>
    <row r="87" spans="1:23" hidden="1" x14ac:dyDescent="0.35">
      <c r="A87" s="2492"/>
      <c r="B87" s="2493"/>
      <c r="C87" s="2494"/>
      <c r="D87" s="996" t="s">
        <v>709</v>
      </c>
      <c r="E87" s="997"/>
      <c r="F87" s="997"/>
      <c r="G87" s="997"/>
      <c r="H87" s="997"/>
      <c r="I87" s="997"/>
      <c r="J87" s="998"/>
      <c r="K87" s="2495"/>
      <c r="L87" s="2362"/>
      <c r="M87" s="2372"/>
      <c r="N87" s="2372"/>
      <c r="O87" s="2372"/>
      <c r="P87" s="2372"/>
      <c r="Q87" s="2383"/>
      <c r="R87" s="2381"/>
      <c r="S87" s="2382"/>
      <c r="T87" s="2381"/>
      <c r="U87" s="2382"/>
      <c r="V87" s="2362"/>
      <c r="W87" s="2362"/>
    </row>
    <row r="88" spans="1:23" hidden="1" x14ac:dyDescent="0.35">
      <c r="A88" s="2492"/>
      <c r="B88" s="2493"/>
      <c r="C88" s="2494"/>
      <c r="D88" s="996" t="s">
        <v>710</v>
      </c>
      <c r="E88" s="997"/>
      <c r="F88" s="997"/>
      <c r="G88" s="997"/>
      <c r="H88" s="997"/>
      <c r="I88" s="997"/>
      <c r="J88" s="998"/>
      <c r="K88" s="2495"/>
      <c r="L88" s="2362"/>
      <c r="M88" s="2372"/>
      <c r="N88" s="2372"/>
      <c r="O88" s="2372"/>
      <c r="P88" s="2372"/>
      <c r="Q88" s="2383"/>
      <c r="R88" s="2381"/>
      <c r="S88" s="2382"/>
      <c r="T88" s="2381"/>
      <c r="U88" s="2382"/>
      <c r="V88" s="2362"/>
      <c r="W88" s="2362"/>
    </row>
    <row r="89" spans="1:23" ht="16" hidden="1" thickBot="1" x14ac:dyDescent="0.4">
      <c r="A89" s="2469"/>
      <c r="B89" s="2470"/>
      <c r="C89" s="2354"/>
      <c r="D89" s="985" t="s">
        <v>711</v>
      </c>
      <c r="E89" s="986"/>
      <c r="F89" s="986"/>
      <c r="G89" s="986"/>
      <c r="H89" s="986"/>
      <c r="I89" s="986"/>
      <c r="J89" s="987"/>
      <c r="K89" s="2464"/>
      <c r="L89" s="2363"/>
      <c r="M89" s="2372"/>
      <c r="N89" s="2372"/>
      <c r="O89" s="2372"/>
      <c r="P89" s="2372"/>
      <c r="Q89" s="2383"/>
      <c r="R89" s="2389"/>
      <c r="S89" s="2390"/>
      <c r="T89" s="2389"/>
      <c r="U89" s="2390"/>
      <c r="V89" s="2363"/>
      <c r="W89" s="2363"/>
    </row>
    <row r="90" spans="1:23" ht="15.65" hidden="1" customHeight="1" thickBot="1" x14ac:dyDescent="0.4">
      <c r="A90" s="2467" t="s">
        <v>712</v>
      </c>
      <c r="B90" s="2468"/>
      <c r="C90" s="2353"/>
      <c r="D90" s="996" t="s">
        <v>713</v>
      </c>
      <c r="E90" s="997"/>
      <c r="F90" s="997"/>
      <c r="G90" s="997"/>
      <c r="H90" s="997"/>
      <c r="I90" s="997"/>
      <c r="J90" s="998"/>
      <c r="K90" s="2463"/>
      <c r="L90" s="2361"/>
      <c r="M90" s="2372">
        <v>340</v>
      </c>
      <c r="N90" s="2372"/>
      <c r="O90" s="2372"/>
      <c r="P90" s="2372">
        <f>M90+N90+O90</f>
        <v>340</v>
      </c>
      <c r="Q90" s="2383">
        <v>69.581779999999995</v>
      </c>
      <c r="R90" s="2379"/>
      <c r="S90" s="2380"/>
      <c r="T90" s="2379"/>
      <c r="U90" s="2380"/>
      <c r="V90" s="2361"/>
      <c r="W90" s="2361"/>
    </row>
    <row r="91" spans="1:23" ht="15.65" hidden="1" customHeight="1" thickBot="1" x14ac:dyDescent="0.4">
      <c r="A91" s="2492"/>
      <c r="B91" s="2493"/>
      <c r="C91" s="2494"/>
      <c r="D91" s="996" t="s">
        <v>714</v>
      </c>
      <c r="E91" s="997"/>
      <c r="F91" s="997"/>
      <c r="G91" s="997"/>
      <c r="H91" s="997"/>
      <c r="I91" s="997"/>
      <c r="J91" s="998"/>
      <c r="K91" s="2495"/>
      <c r="L91" s="2362"/>
      <c r="M91" s="2372"/>
      <c r="N91" s="2372"/>
      <c r="O91" s="2372"/>
      <c r="P91" s="2372"/>
      <c r="Q91" s="2383"/>
      <c r="R91" s="2381"/>
      <c r="S91" s="2382"/>
      <c r="T91" s="2381"/>
      <c r="U91" s="2382"/>
      <c r="V91" s="2362"/>
      <c r="W91" s="2362"/>
    </row>
    <row r="92" spans="1:23" ht="15.65" hidden="1" customHeight="1" thickBot="1" x14ac:dyDescent="0.4">
      <c r="A92" s="2492"/>
      <c r="B92" s="2493"/>
      <c r="C92" s="2494"/>
      <c r="D92" s="996" t="s">
        <v>715</v>
      </c>
      <c r="E92" s="997"/>
      <c r="F92" s="997"/>
      <c r="G92" s="997"/>
      <c r="H92" s="997"/>
      <c r="I92" s="997"/>
      <c r="J92" s="998"/>
      <c r="K92" s="2495"/>
      <c r="L92" s="2362"/>
      <c r="M92" s="2372"/>
      <c r="N92" s="2372"/>
      <c r="O92" s="2372"/>
      <c r="P92" s="2372"/>
      <c r="Q92" s="2383"/>
      <c r="R92" s="2381"/>
      <c r="S92" s="2382"/>
      <c r="T92" s="2381"/>
      <c r="U92" s="2382"/>
      <c r="V92" s="2362"/>
      <c r="W92" s="2362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464"/>
      <c r="L93" s="2363"/>
      <c r="M93" s="1728"/>
      <c r="N93" s="1728"/>
      <c r="O93" s="1728"/>
      <c r="P93" s="1728"/>
      <c r="Q93" s="1730"/>
      <c r="R93" s="2381"/>
      <c r="S93" s="2382"/>
      <c r="T93" s="2381"/>
      <c r="U93" s="2382"/>
      <c r="V93" s="2363"/>
      <c r="W93" s="2363"/>
    </row>
    <row r="94" spans="1:23" ht="15.75" customHeight="1" x14ac:dyDescent="0.35">
      <c r="A94" s="2479" t="s">
        <v>716</v>
      </c>
      <c r="B94" s="2480"/>
      <c r="C94" s="2481"/>
      <c r="D94" s="2485" t="s">
        <v>717</v>
      </c>
      <c r="E94" s="2486"/>
      <c r="F94" s="2486"/>
      <c r="G94" s="2486"/>
      <c r="H94" s="2486"/>
      <c r="I94" s="2486"/>
      <c r="J94" s="2487"/>
      <c r="K94" s="2449">
        <f>K96</f>
        <v>20</v>
      </c>
      <c r="L94" s="2350"/>
      <c r="M94" s="1728"/>
      <c r="N94" s="1728"/>
      <c r="O94" s="1728"/>
      <c r="P94" s="1728"/>
      <c r="Q94" s="1730"/>
      <c r="R94" s="2385">
        <f>R96</f>
        <v>10</v>
      </c>
      <c r="S94" s="2386"/>
      <c r="T94" s="2385">
        <f>T96</f>
        <v>11</v>
      </c>
      <c r="U94" s="2386"/>
      <c r="V94" s="2350">
        <f>V96</f>
        <v>20</v>
      </c>
      <c r="W94" s="2350">
        <f>W96</f>
        <v>20</v>
      </c>
    </row>
    <row r="95" spans="1:23" ht="15.75" customHeight="1" thickBot="1" x14ac:dyDescent="0.4">
      <c r="A95" s="2482"/>
      <c r="B95" s="2483"/>
      <c r="C95" s="2484"/>
      <c r="D95" s="2488"/>
      <c r="E95" s="2489"/>
      <c r="F95" s="2489"/>
      <c r="G95" s="2489"/>
      <c r="H95" s="2489"/>
      <c r="I95" s="2489"/>
      <c r="J95" s="2490"/>
      <c r="K95" s="2451"/>
      <c r="L95" s="2351"/>
      <c r="M95" s="1728"/>
      <c r="N95" s="1728"/>
      <c r="O95" s="1728"/>
      <c r="P95" s="1728"/>
      <c r="Q95" s="1730"/>
      <c r="R95" s="2477"/>
      <c r="S95" s="2478"/>
      <c r="T95" s="2477"/>
      <c r="U95" s="2478"/>
      <c r="V95" s="2351"/>
      <c r="W95" s="2351"/>
    </row>
    <row r="96" spans="1:23" ht="15.75" customHeight="1" x14ac:dyDescent="0.35">
      <c r="A96" s="2467" t="s">
        <v>1000</v>
      </c>
      <c r="B96" s="2468"/>
      <c r="C96" s="2353"/>
      <c r="D96" s="2471" t="s">
        <v>999</v>
      </c>
      <c r="E96" s="2472"/>
      <c r="F96" s="2472"/>
      <c r="G96" s="2472"/>
      <c r="H96" s="2472"/>
      <c r="I96" s="2472"/>
      <c r="J96" s="2473"/>
      <c r="K96" s="2463">
        <v>20</v>
      </c>
      <c r="L96" s="2361"/>
      <c r="M96" s="1728"/>
      <c r="N96" s="1728"/>
      <c r="O96" s="1728"/>
      <c r="P96" s="1728"/>
      <c r="Q96" s="1730"/>
      <c r="R96" s="2379">
        <v>10</v>
      </c>
      <c r="S96" s="2380"/>
      <c r="T96" s="2379">
        <v>11</v>
      </c>
      <c r="U96" s="2380"/>
      <c r="V96" s="2361">
        <v>20</v>
      </c>
      <c r="W96" s="2361">
        <v>20</v>
      </c>
    </row>
    <row r="97" spans="1:28" ht="27" customHeight="1" thickBot="1" x14ac:dyDescent="0.4">
      <c r="A97" s="2469"/>
      <c r="B97" s="2470"/>
      <c r="C97" s="2354"/>
      <c r="D97" s="2474"/>
      <c r="E97" s="2475"/>
      <c r="F97" s="2475"/>
      <c r="G97" s="2475"/>
      <c r="H97" s="2475"/>
      <c r="I97" s="2475"/>
      <c r="J97" s="2476"/>
      <c r="K97" s="2464"/>
      <c r="L97" s="2363"/>
      <c r="M97" s="1728"/>
      <c r="N97" s="1728"/>
      <c r="O97" s="1728"/>
      <c r="P97" s="1728"/>
      <c r="Q97" s="1730"/>
      <c r="R97" s="2465"/>
      <c r="S97" s="2466"/>
      <c r="T97" s="2465"/>
      <c r="U97" s="2466"/>
      <c r="V97" s="2363"/>
      <c r="W97" s="2363"/>
    </row>
    <row r="98" spans="1:28" ht="15" x14ac:dyDescent="0.3">
      <c r="A98" s="2407" t="s">
        <v>720</v>
      </c>
      <c r="B98" s="2408"/>
      <c r="C98" s="2409"/>
      <c r="D98" s="976"/>
      <c r="E98" s="977"/>
      <c r="F98" s="977"/>
      <c r="G98" s="977"/>
      <c r="H98" s="977"/>
      <c r="I98" s="977"/>
      <c r="J98" s="978"/>
      <c r="K98" s="2449">
        <f>K100</f>
        <v>25</v>
      </c>
      <c r="L98" s="2350"/>
      <c r="M98" s="2372">
        <v>90</v>
      </c>
      <c r="N98" s="2372"/>
      <c r="O98" s="2372"/>
      <c r="P98" s="2372">
        <f>P100</f>
        <v>150</v>
      </c>
      <c r="Q98" s="2383">
        <v>129.83756</v>
      </c>
      <c r="R98" s="2385">
        <f>R100</f>
        <v>21</v>
      </c>
      <c r="S98" s="2386"/>
      <c r="T98" s="2385">
        <f>T100</f>
        <v>22</v>
      </c>
      <c r="U98" s="2386"/>
      <c r="V98" s="2350">
        <f>V100</f>
        <v>25</v>
      </c>
      <c r="W98" s="2350">
        <f>W100</f>
        <v>25</v>
      </c>
    </row>
    <row r="99" spans="1:28" thickBot="1" x14ac:dyDescent="0.35">
      <c r="A99" s="2410"/>
      <c r="B99" s="2411"/>
      <c r="C99" s="2412"/>
      <c r="D99" s="1009" t="s">
        <v>721</v>
      </c>
      <c r="E99" s="1010"/>
      <c r="F99" s="1010"/>
      <c r="G99" s="1010"/>
      <c r="H99" s="1010"/>
      <c r="I99" s="1010"/>
      <c r="J99" s="1011"/>
      <c r="K99" s="2451"/>
      <c r="L99" s="2351"/>
      <c r="M99" s="2372"/>
      <c r="N99" s="2372"/>
      <c r="O99" s="2372"/>
      <c r="P99" s="2372"/>
      <c r="Q99" s="2383"/>
      <c r="R99" s="2477"/>
      <c r="S99" s="2478"/>
      <c r="T99" s="2477"/>
      <c r="U99" s="2478"/>
      <c r="V99" s="2351"/>
      <c r="W99" s="2351"/>
    </row>
    <row r="100" spans="1:28" ht="15" customHeight="1" x14ac:dyDescent="0.3">
      <c r="A100" s="2457" t="s">
        <v>722</v>
      </c>
      <c r="B100" s="2458"/>
      <c r="C100" s="2459"/>
      <c r="D100" s="976"/>
      <c r="E100" s="977"/>
      <c r="F100" s="977"/>
      <c r="G100" s="977"/>
      <c r="H100" s="977"/>
      <c r="I100" s="977"/>
      <c r="J100" s="978"/>
      <c r="K100" s="2463">
        <v>25</v>
      </c>
      <c r="L100" s="2361"/>
      <c r="M100" s="2372">
        <v>90</v>
      </c>
      <c r="N100" s="2372">
        <v>30</v>
      </c>
      <c r="O100" s="2372">
        <v>30</v>
      </c>
      <c r="P100" s="2372">
        <f>M100+N100+O100</f>
        <v>150</v>
      </c>
      <c r="Q100" s="2383">
        <v>117.42055999999999</v>
      </c>
      <c r="R100" s="2379">
        <v>21</v>
      </c>
      <c r="S100" s="2380"/>
      <c r="T100" s="2379">
        <v>22</v>
      </c>
      <c r="U100" s="2380"/>
      <c r="V100" s="2361">
        <v>25</v>
      </c>
      <c r="W100" s="2361">
        <v>25</v>
      </c>
    </row>
    <row r="101" spans="1:28" ht="16" thickBot="1" x14ac:dyDescent="0.4">
      <c r="A101" s="2460"/>
      <c r="B101" s="2461"/>
      <c r="C101" s="2462"/>
      <c r="D101" s="1003" t="s">
        <v>723</v>
      </c>
      <c r="E101" s="1010"/>
      <c r="F101" s="1010"/>
      <c r="G101" s="1010"/>
      <c r="H101" s="1010"/>
      <c r="I101" s="1010"/>
      <c r="J101" s="1011"/>
      <c r="K101" s="2464"/>
      <c r="L101" s="2363"/>
      <c r="M101" s="2372"/>
      <c r="N101" s="2372"/>
      <c r="O101" s="2372"/>
      <c r="P101" s="2372"/>
      <c r="Q101" s="2383"/>
      <c r="R101" s="2465"/>
      <c r="S101" s="2466"/>
      <c r="T101" s="2465"/>
      <c r="U101" s="2466"/>
      <c r="V101" s="2362"/>
      <c r="W101" s="2363"/>
    </row>
    <row r="102" spans="1:28" ht="15" x14ac:dyDescent="0.3">
      <c r="A102" s="2407" t="s">
        <v>724</v>
      </c>
      <c r="B102" s="2408"/>
      <c r="C102" s="2409"/>
      <c r="D102" s="976"/>
      <c r="E102" s="977"/>
      <c r="F102" s="977"/>
      <c r="G102" s="977"/>
      <c r="H102" s="977"/>
      <c r="I102" s="977"/>
      <c r="J102" s="978"/>
      <c r="K102" s="2449">
        <f>K105+K107+K108+K111+K112+K115</f>
        <v>20390</v>
      </c>
      <c r="L102" s="2350"/>
      <c r="M102" s="2372">
        <v>8484.0619999999999</v>
      </c>
      <c r="N102" s="2372"/>
      <c r="O102" s="2372"/>
      <c r="P102" s="2372">
        <f>P105+P111+P112+P113+P115</f>
        <v>8524.0619999999999</v>
      </c>
      <c r="Q102" s="2383">
        <v>3580.9459499999998</v>
      </c>
      <c r="R102" s="2373">
        <f>R105+R111+R112+R113+R115+R106+S108+R114+R110+R109</f>
        <v>810.5</v>
      </c>
      <c r="S102" s="2374"/>
      <c r="T102" s="2373">
        <f>T105+T111+T112+T113+T115+T106+U108+T114+T110+T109</f>
        <v>818.5</v>
      </c>
      <c r="U102" s="2672"/>
      <c r="V102" s="2675">
        <f>V105+V107+V108+V111+V112+V115+V106</f>
        <v>22452.500000000004</v>
      </c>
      <c r="W102" s="2350">
        <f>W105+W107+W108+W111+W112+W115</f>
        <v>19031.2</v>
      </c>
    </row>
    <row r="103" spans="1:28" ht="15" x14ac:dyDescent="0.3">
      <c r="A103" s="2446"/>
      <c r="B103" s="2447"/>
      <c r="C103" s="2448"/>
      <c r="D103" s="999" t="s">
        <v>725</v>
      </c>
      <c r="E103" s="1000"/>
      <c r="F103" s="1000"/>
      <c r="G103" s="1000"/>
      <c r="H103" s="1000"/>
      <c r="I103" s="1000"/>
      <c r="J103" s="1001"/>
      <c r="K103" s="2450"/>
      <c r="L103" s="2360"/>
      <c r="M103" s="2372"/>
      <c r="N103" s="2372"/>
      <c r="O103" s="2372"/>
      <c r="P103" s="2372"/>
      <c r="Q103" s="2383"/>
      <c r="R103" s="2442"/>
      <c r="S103" s="2443"/>
      <c r="T103" s="2442"/>
      <c r="U103" s="2673"/>
      <c r="V103" s="2676"/>
      <c r="W103" s="2360"/>
    </row>
    <row r="104" spans="1:28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451"/>
      <c r="L104" s="2351"/>
      <c r="M104" s="1728"/>
      <c r="N104" s="1728"/>
      <c r="O104" s="1728"/>
      <c r="P104" s="1728"/>
      <c r="Q104" s="1730"/>
      <c r="R104" s="2375"/>
      <c r="S104" s="2376"/>
      <c r="T104" s="2375"/>
      <c r="U104" s="2674"/>
      <c r="V104" s="2677"/>
      <c r="W104" s="2351"/>
    </row>
    <row r="105" spans="1:28" ht="34.5" customHeight="1" thickBot="1" x14ac:dyDescent="0.4">
      <c r="A105" s="2397" t="s">
        <v>976</v>
      </c>
      <c r="B105" s="2398"/>
      <c r="C105" s="2399"/>
      <c r="D105" s="2417" t="s">
        <v>864</v>
      </c>
      <c r="E105" s="2418"/>
      <c r="F105" s="2418"/>
      <c r="G105" s="2418"/>
      <c r="H105" s="2418"/>
      <c r="I105" s="2418"/>
      <c r="J105" s="2419"/>
      <c r="K105" s="2403">
        <v>17766.7</v>
      </c>
      <c r="L105" s="2404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2444"/>
      <c r="S105" s="2445"/>
      <c r="T105" s="2444"/>
      <c r="U105" s="2445"/>
      <c r="V105" s="1823">
        <v>18356</v>
      </c>
      <c r="W105" s="1737">
        <v>18974.099999999999</v>
      </c>
    </row>
    <row r="106" spans="1:28" ht="34.5" customHeight="1" thickBot="1" x14ac:dyDescent="0.4">
      <c r="A106" s="2454" t="s">
        <v>1001</v>
      </c>
      <c r="B106" s="2455"/>
      <c r="C106" s="2456"/>
      <c r="D106" s="2710" t="s">
        <v>1002</v>
      </c>
      <c r="E106" s="2711"/>
      <c r="F106" s="2711"/>
      <c r="G106" s="2711"/>
      <c r="H106" s="2711"/>
      <c r="I106" s="2711"/>
      <c r="J106" s="2712"/>
      <c r="K106" s="2667"/>
      <c r="L106" s="2668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4">
      <c r="A107" s="2454" t="s">
        <v>975</v>
      </c>
      <c r="B107" s="2455"/>
      <c r="C107" s="2456"/>
      <c r="D107" s="2417" t="s">
        <v>888</v>
      </c>
      <c r="E107" s="2438"/>
      <c r="F107" s="2438"/>
      <c r="G107" s="2438"/>
      <c r="H107" s="2438"/>
      <c r="I107" s="2438"/>
      <c r="J107" s="2439"/>
      <c r="K107" s="2368">
        <f>388.9-5.7</f>
        <v>383.2</v>
      </c>
      <c r="L107" s="2369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5" customHeight="1" thickBot="1" x14ac:dyDescent="0.4">
      <c r="A108" s="2397" t="s">
        <v>974</v>
      </c>
      <c r="B108" s="2398"/>
      <c r="C108" s="2399"/>
      <c r="D108" s="2417" t="s">
        <v>890</v>
      </c>
      <c r="E108" s="2438"/>
      <c r="F108" s="2438"/>
      <c r="G108" s="2438"/>
      <c r="H108" s="2438"/>
      <c r="I108" s="2438"/>
      <c r="J108" s="2439"/>
      <c r="K108" s="2403">
        <v>1333.1</v>
      </c>
      <c r="L108" s="2404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5" hidden="1" customHeight="1" thickBot="1" x14ac:dyDescent="0.4">
      <c r="A109" s="2397" t="s">
        <v>731</v>
      </c>
      <c r="B109" s="2398"/>
      <c r="C109" s="2399"/>
      <c r="D109" s="2432" t="s">
        <v>732</v>
      </c>
      <c r="E109" s="2433"/>
      <c r="F109" s="2433"/>
      <c r="G109" s="2433"/>
      <c r="H109" s="2433"/>
      <c r="I109" s="2433"/>
      <c r="J109" s="2434"/>
      <c r="K109" s="2420"/>
      <c r="L109" s="2421"/>
      <c r="M109" s="1728"/>
      <c r="N109" s="1728"/>
      <c r="O109" s="1728"/>
      <c r="P109" s="1728"/>
      <c r="Q109" s="1730"/>
      <c r="R109" s="2422"/>
      <c r="S109" s="2423"/>
      <c r="T109" s="2422"/>
      <c r="U109" s="2423"/>
      <c r="V109" s="1738"/>
      <c r="W109" s="1738"/>
      <c r="X109" s="1791"/>
      <c r="Y109" s="1790"/>
      <c r="Z109" s="1790"/>
    </row>
    <row r="110" spans="1:28" ht="60.65" hidden="1" customHeight="1" thickBot="1" x14ac:dyDescent="0.4">
      <c r="A110" s="2397" t="s">
        <v>733</v>
      </c>
      <c r="B110" s="2398"/>
      <c r="C110" s="2399"/>
      <c r="D110" s="2435" t="s">
        <v>734</v>
      </c>
      <c r="E110" s="2436"/>
      <c r="F110" s="2436"/>
      <c r="G110" s="2436"/>
      <c r="H110" s="2436"/>
      <c r="I110" s="2436"/>
      <c r="J110" s="2437"/>
      <c r="K110" s="2420"/>
      <c r="L110" s="2421"/>
      <c r="M110" s="1728"/>
      <c r="N110" s="1728"/>
      <c r="O110" s="1728"/>
      <c r="P110" s="1728"/>
      <c r="Q110" s="1730"/>
      <c r="R110" s="2422"/>
      <c r="S110" s="2423"/>
      <c r="T110" s="2422"/>
      <c r="U110" s="2423"/>
      <c r="V110" s="1738"/>
      <c r="W110" s="1738"/>
      <c r="X110" s="1791"/>
      <c r="Y110" s="1790"/>
      <c r="Z110" s="1790"/>
    </row>
    <row r="111" spans="1:28" ht="36.75" customHeight="1" thickBot="1" x14ac:dyDescent="0.4">
      <c r="A111" s="2397" t="s">
        <v>973</v>
      </c>
      <c r="B111" s="2398"/>
      <c r="C111" s="2399"/>
      <c r="D111" s="2417" t="s">
        <v>736</v>
      </c>
      <c r="E111" s="2418"/>
      <c r="F111" s="2418"/>
      <c r="G111" s="2418"/>
      <c r="H111" s="2418"/>
      <c r="I111" s="2418"/>
      <c r="J111" s="2419"/>
      <c r="K111" s="2420">
        <v>844.2</v>
      </c>
      <c r="L111" s="2421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2422"/>
      <c r="S111" s="2423"/>
      <c r="T111" s="2422"/>
      <c r="U111" s="2423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4">
      <c r="A112" s="2397" t="s">
        <v>972</v>
      </c>
      <c r="B112" s="2398"/>
      <c r="C112" s="2399"/>
      <c r="D112" s="2417" t="s">
        <v>889</v>
      </c>
      <c r="E112" s="2418"/>
      <c r="F112" s="2418"/>
      <c r="G112" s="2418"/>
      <c r="H112" s="2418"/>
      <c r="I112" s="2418"/>
      <c r="J112" s="2419"/>
      <c r="K112" s="2420">
        <f>7.1-0.06</f>
        <v>7.04</v>
      </c>
      <c r="L112" s="2421"/>
      <c r="M112" s="1728">
        <v>10</v>
      </c>
      <c r="N112" s="1728"/>
      <c r="O112" s="1728"/>
      <c r="P112" s="1728">
        <v>10</v>
      </c>
      <c r="Q112" s="1730">
        <v>10</v>
      </c>
      <c r="R112" s="2422">
        <v>598.5</v>
      </c>
      <c r="S112" s="2423"/>
      <c r="T112" s="2422">
        <v>598.5</v>
      </c>
      <c r="U112" s="2423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4">
      <c r="A113" s="2397" t="s">
        <v>738</v>
      </c>
      <c r="B113" s="2398"/>
      <c r="C113" s="2399"/>
      <c r="D113" s="2417" t="s">
        <v>739</v>
      </c>
      <c r="E113" s="2418"/>
      <c r="F113" s="2418"/>
      <c r="G113" s="2418"/>
      <c r="H113" s="2418"/>
      <c r="I113" s="2418"/>
      <c r="J113" s="2419"/>
      <c r="K113" s="2420"/>
      <c r="L113" s="2421"/>
      <c r="M113" s="1728">
        <v>613</v>
      </c>
      <c r="N113" s="1728"/>
      <c r="O113" s="1728"/>
      <c r="P113" s="1728">
        <v>613</v>
      </c>
      <c r="Q113" s="1730">
        <v>613</v>
      </c>
      <c r="R113" s="2422"/>
      <c r="S113" s="2423"/>
      <c r="T113" s="2422"/>
      <c r="U113" s="2423"/>
      <c r="V113" s="1738"/>
      <c r="W113" s="1738"/>
    </row>
    <row r="114" spans="1:26" ht="58.9" hidden="1" customHeight="1" thickBot="1" x14ac:dyDescent="0.4">
      <c r="A114" s="2397" t="s">
        <v>740</v>
      </c>
      <c r="B114" s="2398"/>
      <c r="C114" s="2399"/>
      <c r="D114" s="2417" t="s">
        <v>741</v>
      </c>
      <c r="E114" s="2418"/>
      <c r="F114" s="2418"/>
      <c r="G114" s="2418"/>
      <c r="H114" s="2418"/>
      <c r="I114" s="2418"/>
      <c r="J114" s="2419"/>
      <c r="K114" s="2424"/>
      <c r="L114" s="2425"/>
      <c r="M114" s="1728"/>
      <c r="N114" s="1728"/>
      <c r="O114" s="1728"/>
      <c r="P114" s="1728"/>
      <c r="Q114" s="1730"/>
      <c r="R114" s="2426"/>
      <c r="S114" s="2427"/>
      <c r="T114" s="2426"/>
      <c r="U114" s="2427"/>
      <c r="V114" s="1740"/>
      <c r="W114" s="1740"/>
    </row>
    <row r="115" spans="1:26" ht="34.5" customHeight="1" thickBot="1" x14ac:dyDescent="0.4">
      <c r="A115" s="2397" t="s">
        <v>971</v>
      </c>
      <c r="B115" s="2398"/>
      <c r="C115" s="2399"/>
      <c r="D115" s="2400" t="s">
        <v>743</v>
      </c>
      <c r="E115" s="2401"/>
      <c r="F115" s="2401"/>
      <c r="G115" s="2401"/>
      <c r="H115" s="2401"/>
      <c r="I115" s="2401"/>
      <c r="J115" s="2402"/>
      <c r="K115" s="2403">
        <f>50+0.06+5.7</f>
        <v>55.760000000000005</v>
      </c>
      <c r="L115" s="2404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2405">
        <v>212</v>
      </c>
      <c r="S115" s="2406"/>
      <c r="T115" s="2405">
        <v>220</v>
      </c>
      <c r="U115" s="2406"/>
      <c r="V115" s="1737">
        <f>50+0.06</f>
        <v>50.06</v>
      </c>
      <c r="W115" s="1737">
        <f>50+0.06</f>
        <v>50.06</v>
      </c>
    </row>
    <row r="116" spans="1:26" ht="12.75" customHeight="1" x14ac:dyDescent="0.35">
      <c r="A116" s="2407" t="s">
        <v>744</v>
      </c>
      <c r="B116" s="2408"/>
      <c r="C116" s="2409"/>
      <c r="D116" s="982"/>
      <c r="E116" s="983"/>
      <c r="F116" s="983"/>
      <c r="G116" s="983"/>
      <c r="H116" s="983"/>
      <c r="I116" s="983"/>
      <c r="J116" s="984"/>
      <c r="K116" s="2449">
        <f>K102+K32</f>
        <v>96512.440999999992</v>
      </c>
      <c r="L116" s="2350"/>
      <c r="M116" s="2372">
        <v>25719.42</v>
      </c>
      <c r="N116" s="2372"/>
      <c r="O116" s="2372"/>
      <c r="P116" s="2370">
        <f>P32+P102</f>
        <v>33106.455999999998</v>
      </c>
      <c r="Q116" s="2372"/>
      <c r="R116" s="2373">
        <f>R32+R102</f>
        <v>74406.700000000012</v>
      </c>
      <c r="S116" s="2374"/>
      <c r="T116" s="2373">
        <f>T32+T102</f>
        <v>76479.200000000012</v>
      </c>
      <c r="U116" s="2374"/>
      <c r="V116" s="2350">
        <f>V102+V32</f>
        <v>100309.36500000001</v>
      </c>
      <c r="W116" s="2350">
        <f>W102+W32</f>
        <v>98590.785999999993</v>
      </c>
    </row>
    <row r="117" spans="1:26" ht="16.5" customHeight="1" thickBot="1" x14ac:dyDescent="0.4">
      <c r="A117" s="2410"/>
      <c r="B117" s="2411"/>
      <c r="C117" s="2412"/>
      <c r="D117" s="979"/>
      <c r="E117" s="980"/>
      <c r="F117" s="980"/>
      <c r="G117" s="986"/>
      <c r="H117" s="986"/>
      <c r="I117" s="986"/>
      <c r="J117" s="987"/>
      <c r="K117" s="2451"/>
      <c r="L117" s="2351"/>
      <c r="M117" s="2709"/>
      <c r="N117" s="2709"/>
      <c r="O117" s="2709"/>
      <c r="P117" s="2708"/>
      <c r="Q117" s="2709"/>
      <c r="R117" s="2375"/>
      <c r="S117" s="2376"/>
      <c r="T117" s="2375"/>
      <c r="U117" s="2376"/>
      <c r="V117" s="2351"/>
      <c r="W117" s="2351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4">
        <v>356.3</v>
      </c>
      <c r="Y119" s="1704">
        <v>356.3</v>
      </c>
      <c r="Z119" s="1704">
        <v>356.3</v>
      </c>
    </row>
    <row r="120" spans="1:26" x14ac:dyDescent="0.35">
      <c r="X120" s="1704">
        <v>106.9</v>
      </c>
      <c r="Y120" s="1704">
        <v>88.4</v>
      </c>
      <c r="Z120" s="1704">
        <v>874.4</v>
      </c>
    </row>
    <row r="121" spans="1:26" x14ac:dyDescent="0.35">
      <c r="X121" s="1704">
        <v>-648.9</v>
      </c>
      <c r="Y121" s="1704">
        <v>-648.9</v>
      </c>
      <c r="Z121" s="1704">
        <v>-648.9</v>
      </c>
    </row>
    <row r="122" spans="1:26" x14ac:dyDescent="0.35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677"/>
  <sheetViews>
    <sheetView tabSelected="1" topLeftCell="A291" zoomScale="58" zoomScaleNormal="58" zoomScaleSheetLayoutView="90" zoomScalePageLayoutView="51" workbookViewId="0">
      <selection activeCell="AF314" sqref="AF314"/>
    </sheetView>
  </sheetViews>
  <sheetFormatPr defaultColWidth="9.1796875" defaultRowHeight="12.5" x14ac:dyDescent="0.25"/>
  <cols>
    <col min="1" max="1" width="8.81640625" style="1" customWidth="1"/>
    <col min="2" max="2" width="65.179687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8" width="22.1796875" style="1906" hidden="1" customWidth="1"/>
    <col min="19" max="21" width="10.26953125" style="2" hidden="1" customWidth="1"/>
    <col min="22" max="23" width="22.1796875" style="1905" customWidth="1"/>
    <col min="24" max="24" width="18.81640625" style="2" hidden="1" customWidth="1"/>
    <col min="25" max="25" width="14.81640625" style="1" hidden="1" customWidth="1"/>
    <col min="26" max="26" width="17.7265625" style="237" hidden="1" customWidth="1"/>
    <col min="27" max="16384" width="9.1796875" style="1"/>
  </cols>
  <sheetData>
    <row r="1" spans="1:256" x14ac:dyDescent="0.25">
      <c r="V1" s="2724" t="s">
        <v>1128</v>
      </c>
      <c r="W1" s="2724"/>
    </row>
    <row r="2" spans="1:256" x14ac:dyDescent="0.25">
      <c r="V2" s="2724" t="s">
        <v>450</v>
      </c>
      <c r="W2" s="2724"/>
    </row>
    <row r="3" spans="1:256" x14ac:dyDescent="0.25">
      <c r="V3" s="2724" t="s">
        <v>449</v>
      </c>
      <c r="W3" s="2724"/>
    </row>
    <row r="4" spans="1:256" x14ac:dyDescent="0.25">
      <c r="V4" s="2724" t="s">
        <v>448</v>
      </c>
      <c r="W4" s="2724"/>
    </row>
    <row r="5" spans="1:256" x14ac:dyDescent="0.25">
      <c r="V5" s="2724" t="s">
        <v>1135</v>
      </c>
      <c r="W5" s="2724"/>
    </row>
    <row r="7" spans="1:256" s="2" customFormat="1" ht="15.5" x14ac:dyDescent="0.35">
      <c r="A7" s="1"/>
      <c r="B7" s="6"/>
      <c r="C7" s="5"/>
      <c r="D7" s="4"/>
      <c r="E7" s="4"/>
      <c r="F7" s="4"/>
      <c r="G7" s="4"/>
      <c r="H7" s="4"/>
      <c r="I7" s="4"/>
      <c r="J7" s="2339"/>
      <c r="K7" s="2339"/>
      <c r="L7" s="2339"/>
      <c r="M7" s="2339"/>
      <c r="N7" s="1907"/>
      <c r="O7" s="2347"/>
      <c r="P7" s="1909"/>
      <c r="Q7" s="2347"/>
      <c r="R7" s="2347" t="s">
        <v>936</v>
      </c>
      <c r="S7" s="4"/>
      <c r="T7" s="4"/>
      <c r="U7" s="4"/>
      <c r="V7" s="1907"/>
      <c r="W7" s="410" t="s">
        <v>936</v>
      </c>
      <c r="X7" s="1825"/>
      <c r="Y7" s="1825"/>
      <c r="Z7" s="1825"/>
      <c r="AA7" s="1825"/>
      <c r="AB7" s="1825"/>
      <c r="AC7" s="2343"/>
      <c r="AD7" s="1825"/>
      <c r="AE7" s="1825"/>
      <c r="AF7" s="1825"/>
      <c r="AG7" s="1825"/>
      <c r="AH7" s="237"/>
      <c r="AI7" s="237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x14ac:dyDescent="0.35">
      <c r="A8" s="1"/>
      <c r="B8" s="6"/>
      <c r="C8" s="5"/>
      <c r="D8" s="4"/>
      <c r="E8" s="4"/>
      <c r="F8" s="4"/>
      <c r="G8" s="4"/>
      <c r="H8" s="4"/>
      <c r="I8" s="2601"/>
      <c r="J8" s="2601"/>
      <c r="K8" s="2601"/>
      <c r="L8" s="2601"/>
      <c r="M8" s="2601"/>
      <c r="N8" s="2601"/>
      <c r="O8" s="1910"/>
      <c r="P8" s="1909"/>
      <c r="Q8" s="2723" t="s">
        <v>450</v>
      </c>
      <c r="R8" s="2723"/>
      <c r="S8" s="4"/>
      <c r="T8" s="4"/>
      <c r="V8" s="261"/>
      <c r="W8" s="410" t="s">
        <v>450</v>
      </c>
      <c r="X8" s="1825"/>
      <c r="Y8" s="1825"/>
      <c r="Z8" s="1825"/>
      <c r="AA8" s="1825"/>
      <c r="AB8" s="1825"/>
      <c r="AC8" s="2343"/>
      <c r="AD8" s="237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x14ac:dyDescent="0.35">
      <c r="A9" s="1"/>
      <c r="B9" s="6"/>
      <c r="C9" s="261"/>
      <c r="D9" s="261"/>
      <c r="E9" s="261"/>
      <c r="F9" s="2601"/>
      <c r="G9" s="2601"/>
      <c r="H9" s="2601"/>
      <c r="I9" s="2601"/>
      <c r="J9" s="2601"/>
      <c r="K9" s="2601"/>
      <c r="L9" s="2601"/>
      <c r="M9" s="2601"/>
      <c r="N9" s="2601"/>
      <c r="O9" s="1909"/>
      <c r="P9" s="1909"/>
      <c r="Q9" s="2723" t="s">
        <v>449</v>
      </c>
      <c r="R9" s="2723"/>
      <c r="S9" s="1539"/>
      <c r="T9" s="1539"/>
      <c r="U9" s="1539"/>
      <c r="V9" s="1539"/>
      <c r="W9" s="410" t="s">
        <v>449</v>
      </c>
      <c r="X9" s="1825"/>
      <c r="Y9" s="1825"/>
      <c r="Z9" s="1825"/>
      <c r="AA9" s="1825"/>
      <c r="AB9" s="1825"/>
      <c r="AC9" s="2343"/>
      <c r="AD9" s="1825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5" x14ac:dyDescent="0.35">
      <c r="A10" s="1"/>
      <c r="B10" s="6"/>
      <c r="C10" s="5"/>
      <c r="D10" s="2339"/>
      <c r="E10" s="2339"/>
      <c r="F10" s="2339"/>
      <c r="G10" s="2339"/>
      <c r="H10" s="2339"/>
      <c r="I10" s="2339"/>
      <c r="J10" s="2339"/>
      <c r="K10" s="1045"/>
      <c r="L10" s="1045"/>
      <c r="M10" s="2339"/>
      <c r="N10" s="1911"/>
      <c r="O10" s="1912"/>
      <c r="P10" s="1909"/>
      <c r="Q10" s="2723" t="s">
        <v>448</v>
      </c>
      <c r="R10" s="2723"/>
      <c r="S10" s="2339"/>
      <c r="T10" s="2339"/>
      <c r="U10" s="2339"/>
      <c r="V10" s="1911"/>
      <c r="W10" s="410" t="s">
        <v>448</v>
      </c>
      <c r="X10" s="1825"/>
      <c r="Y10" s="1825"/>
      <c r="Z10" s="1825"/>
      <c r="AA10" s="1825"/>
      <c r="AB10" s="1825"/>
      <c r="AC10" s="2343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5" x14ac:dyDescent="0.25">
      <c r="A11" s="1"/>
      <c r="B11" s="6"/>
      <c r="C11" s="5"/>
      <c r="D11" s="1824" t="s">
        <v>447</v>
      </c>
      <c r="E11" s="1824"/>
      <c r="F11" s="1824"/>
      <c r="G11" s="2651"/>
      <c r="H11" s="2651"/>
      <c r="I11" s="2651"/>
      <c r="J11" s="2651"/>
      <c r="K11" s="2651"/>
      <c r="L11" s="2651"/>
      <c r="M11" s="2651"/>
      <c r="N11" s="2651"/>
      <c r="O11" s="1913"/>
      <c r="P11" s="1913"/>
      <c r="Q11" s="2722" t="s">
        <v>991</v>
      </c>
      <c r="R11" s="2722"/>
      <c r="S11" s="2340"/>
      <c r="T11" s="2340"/>
      <c r="U11" s="1824"/>
      <c r="V11" s="1824"/>
      <c r="W11" s="2341" t="s">
        <v>1105</v>
      </c>
      <c r="X11" s="2140"/>
      <c r="Y11" s="2140"/>
      <c r="Z11" s="2140"/>
      <c r="AA11" s="2140"/>
      <c r="AB11" s="2140"/>
      <c r="AC11" s="2140"/>
      <c r="AD11" s="2140"/>
      <c r="AE11" s="2140"/>
      <c r="AF11" s="2140"/>
      <c r="AG11" s="2140"/>
      <c r="AH11" s="2140"/>
      <c r="AI11" s="2140"/>
      <c r="AJ11" s="2140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3.15" customHeight="1" x14ac:dyDescent="0.25">
      <c r="A12" s="1"/>
      <c r="B12" s="6"/>
      <c r="C12" s="5"/>
      <c r="D12" s="4"/>
      <c r="E12" s="4"/>
      <c r="F12" s="4"/>
      <c r="G12" s="4"/>
      <c r="H12" s="4"/>
      <c r="I12" s="4"/>
      <c r="J12" s="1045"/>
      <c r="K12" s="1045"/>
      <c r="L12" s="1045"/>
      <c r="M12" s="4"/>
      <c r="N12" s="1914"/>
      <c r="O12" s="1915"/>
      <c r="P12" s="1915"/>
      <c r="Q12" s="1916"/>
      <c r="R12" s="1916"/>
      <c r="S12" s="4"/>
      <c r="T12" s="4"/>
      <c r="U12" s="1045"/>
      <c r="V12" s="1914"/>
      <c r="W12" s="1914"/>
      <c r="Y12" s="1"/>
      <c r="Z12" s="23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5.65" hidden="1" customHeight="1" x14ac:dyDescent="0.35">
      <c r="A13" s="1"/>
      <c r="B13" s="2340"/>
      <c r="C13" s="5"/>
      <c r="D13" s="4"/>
      <c r="E13" s="254"/>
      <c r="F13" s="254"/>
      <c r="G13" s="254"/>
      <c r="H13" s="254"/>
      <c r="I13" s="254"/>
      <c r="J13" s="1045"/>
      <c r="K13" s="1045"/>
      <c r="L13" s="1045"/>
      <c r="M13" s="4"/>
      <c r="N13" s="1911" t="s">
        <v>446</v>
      </c>
      <c r="O13" s="2346"/>
      <c r="P13" s="2346"/>
      <c r="Q13" s="2346" t="s">
        <v>446</v>
      </c>
      <c r="R13" s="2346" t="s">
        <v>446</v>
      </c>
      <c r="S13" s="254"/>
      <c r="T13" s="254"/>
      <c r="U13" s="2340"/>
      <c r="V13" s="1911" t="s">
        <v>446</v>
      </c>
      <c r="W13" s="1911" t="s">
        <v>446</v>
      </c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5" hidden="1" customHeight="1" x14ac:dyDescent="0.35">
      <c r="A14" s="1"/>
      <c r="B14" s="6"/>
      <c r="C14" s="5"/>
      <c r="D14" s="4"/>
      <c r="E14" s="254"/>
      <c r="F14" s="254"/>
      <c r="G14" s="254"/>
      <c r="H14" s="254"/>
      <c r="I14" s="254"/>
      <c r="J14" s="384"/>
      <c r="K14" s="1045"/>
      <c r="L14" s="1045"/>
      <c r="M14" s="4"/>
      <c r="N14" s="1914"/>
      <c r="O14" s="1915"/>
      <c r="P14" s="1915"/>
      <c r="Q14" s="1916"/>
      <c r="R14" s="1916"/>
      <c r="S14" s="254"/>
      <c r="T14" s="254"/>
      <c r="U14" s="384"/>
      <c r="V14" s="1914"/>
      <c r="W14" s="1914"/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5" hidden="1" customHeight="1" x14ac:dyDescent="0.35">
      <c r="A15" s="1"/>
      <c r="B15" s="2340"/>
      <c r="C15" s="5"/>
      <c r="D15" s="4"/>
      <c r="E15" s="254"/>
      <c r="F15" s="254"/>
      <c r="G15" s="254"/>
      <c r="H15" s="254"/>
      <c r="I15" s="254"/>
      <c r="J15" s="1045"/>
      <c r="K15" s="1045"/>
      <c r="L15" s="1045"/>
      <c r="M15" s="4"/>
      <c r="N15" s="1911" t="s">
        <v>848</v>
      </c>
      <c r="O15" s="2346"/>
      <c r="P15" s="2346"/>
      <c r="Q15" s="2346" t="s">
        <v>848</v>
      </c>
      <c r="R15" s="2346" t="s">
        <v>848</v>
      </c>
      <c r="S15" s="254"/>
      <c r="T15" s="254"/>
      <c r="U15" s="2340"/>
      <c r="V15" s="1911" t="s">
        <v>848</v>
      </c>
      <c r="W15" s="1911" t="s">
        <v>848</v>
      </c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5" hidden="1" customHeight="1" x14ac:dyDescent="0.3">
      <c r="A16" s="1"/>
      <c r="B16" s="250"/>
      <c r="C16" s="249"/>
      <c r="D16" s="247"/>
      <c r="E16" s="247"/>
      <c r="F16" s="247"/>
      <c r="G16" s="247"/>
      <c r="H16" s="247"/>
      <c r="I16" s="247"/>
      <c r="J16" s="1046">
        <v>69983.100000000006</v>
      </c>
      <c r="K16" s="1047" t="s">
        <v>444</v>
      </c>
      <c r="L16" s="1048">
        <v>72195.899999999994</v>
      </c>
      <c r="M16" s="1049">
        <v>73707.5</v>
      </c>
      <c r="N16" s="1918">
        <v>69983.100000000006</v>
      </c>
      <c r="O16" s="1919">
        <v>69983.100000000006</v>
      </c>
      <c r="P16" s="1919">
        <v>69983.100000000006</v>
      </c>
      <c r="Q16" s="1919">
        <v>69983.100000000006</v>
      </c>
      <c r="R16" s="1919">
        <v>69983.100000000006</v>
      </c>
      <c r="V16" s="1918">
        <v>69983.100000000006</v>
      </c>
      <c r="W16" s="1918">
        <v>69983.100000000006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6" ht="13" x14ac:dyDescent="0.3">
      <c r="B17" s="1920"/>
      <c r="C17" s="249"/>
      <c r="D17" s="247"/>
      <c r="E17" s="247"/>
      <c r="F17" s="247"/>
      <c r="G17" s="248" t="s">
        <v>442</v>
      </c>
      <c r="H17" s="248"/>
      <c r="I17" s="247"/>
      <c r="J17" s="1050">
        <f>J16-J26</f>
        <v>0</v>
      </c>
      <c r="K17" s="1047" t="s">
        <v>443</v>
      </c>
      <c r="L17" s="1048">
        <v>1804.9</v>
      </c>
      <c r="M17" s="1051">
        <v>3685.4</v>
      </c>
      <c r="N17" s="1918">
        <f>N16-N26</f>
        <v>0</v>
      </c>
      <c r="O17" s="1919">
        <f>O16-O26</f>
        <v>0</v>
      </c>
      <c r="P17" s="1919">
        <f>P16-P26</f>
        <v>0</v>
      </c>
      <c r="Q17" s="1919">
        <f>Q16-Q26</f>
        <v>0</v>
      </c>
      <c r="R17" s="1919">
        <f>R16-R26</f>
        <v>0</v>
      </c>
      <c r="V17" s="1918">
        <f>V16-V26</f>
        <v>0</v>
      </c>
      <c r="W17" s="1918">
        <f>W16-W26</f>
        <v>0</v>
      </c>
    </row>
    <row r="18" spans="1:26" ht="15.5" x14ac:dyDescent="0.3">
      <c r="B18" s="2716"/>
      <c r="C18" s="2716"/>
      <c r="D18" s="2716"/>
      <c r="E18" s="2716"/>
      <c r="F18" s="2716"/>
      <c r="G18" s="2716"/>
      <c r="H18" s="2716"/>
      <c r="I18" s="2716"/>
      <c r="J18" s="2716"/>
      <c r="K18" s="242" t="s">
        <v>442</v>
      </c>
      <c r="L18" s="241">
        <f>L16-L17-L26</f>
        <v>-1.8000000272877514E-4</v>
      </c>
      <c r="M18" s="240">
        <f>M16-M17-M26</f>
        <v>4.1740000597201288E-4</v>
      </c>
      <c r="O18" s="1921"/>
      <c r="P18" s="1921"/>
      <c r="Q18" s="1922"/>
      <c r="R18" s="1922"/>
    </row>
    <row r="19" spans="1:26" ht="15.65" customHeight="1" x14ac:dyDescent="0.3">
      <c r="A19" s="2717" t="s">
        <v>441</v>
      </c>
      <c r="B19" s="2717"/>
      <c r="C19" s="2717"/>
      <c r="D19" s="2717"/>
      <c r="E19" s="2717"/>
      <c r="F19" s="2717"/>
      <c r="G19" s="2717"/>
      <c r="H19" s="2717"/>
      <c r="I19" s="2717"/>
      <c r="J19" s="2717"/>
      <c r="K19" s="2717"/>
      <c r="L19" s="2717"/>
      <c r="M19" s="2717"/>
      <c r="N19" s="2717"/>
      <c r="O19" s="2717"/>
      <c r="P19" s="2717"/>
      <c r="Q19" s="2717"/>
      <c r="R19" s="2717"/>
      <c r="V19" s="2"/>
      <c r="W19" s="2"/>
    </row>
    <row r="20" spans="1:26" ht="17.5" customHeight="1" x14ac:dyDescent="0.3">
      <c r="A20" s="2718" t="s">
        <v>440</v>
      </c>
      <c r="B20" s="2718"/>
      <c r="C20" s="2718"/>
      <c r="D20" s="2718"/>
      <c r="E20" s="2718"/>
      <c r="F20" s="2718"/>
      <c r="G20" s="2718"/>
      <c r="H20" s="2718"/>
      <c r="I20" s="2718"/>
      <c r="J20" s="2718"/>
      <c r="K20" s="2718"/>
      <c r="L20" s="2718"/>
      <c r="M20" s="2718"/>
      <c r="N20" s="2718"/>
      <c r="O20" s="2718"/>
      <c r="P20" s="2718"/>
      <c r="Q20" s="2718"/>
      <c r="R20" s="2718"/>
      <c r="V20" s="2"/>
      <c r="W20" s="2"/>
    </row>
    <row r="21" spans="1:26" ht="15" customHeight="1" x14ac:dyDescent="0.3">
      <c r="A21" s="2717" t="s">
        <v>439</v>
      </c>
      <c r="B21" s="2717"/>
      <c r="C21" s="2717"/>
      <c r="D21" s="2717"/>
      <c r="E21" s="2717"/>
      <c r="F21" s="2717"/>
      <c r="G21" s="2717"/>
      <c r="H21" s="2717"/>
      <c r="I21" s="2717"/>
      <c r="J21" s="2717"/>
      <c r="K21" s="2717"/>
      <c r="L21" s="2717"/>
      <c r="M21" s="2717"/>
      <c r="N21" s="2717"/>
      <c r="O21" s="2717"/>
      <c r="P21" s="2717"/>
      <c r="Q21" s="2717"/>
      <c r="R21" s="2717"/>
      <c r="V21" s="2"/>
      <c r="W21" s="2"/>
    </row>
    <row r="22" spans="1:26" ht="13.5" customHeight="1" x14ac:dyDescent="0.3">
      <c r="A22" s="2717" t="s">
        <v>438</v>
      </c>
      <c r="B22" s="2717"/>
      <c r="C22" s="2717"/>
      <c r="D22" s="2717"/>
      <c r="E22" s="2717"/>
      <c r="F22" s="2717"/>
      <c r="G22" s="2717"/>
      <c r="H22" s="2717"/>
      <c r="I22" s="2717"/>
      <c r="J22" s="2717"/>
      <c r="K22" s="2717"/>
      <c r="L22" s="2717"/>
      <c r="M22" s="2717"/>
      <c r="N22" s="2717"/>
      <c r="O22" s="2717"/>
      <c r="P22" s="2717"/>
      <c r="Q22" s="2717"/>
      <c r="R22" s="2717"/>
      <c r="V22" s="2"/>
      <c r="W22" s="2"/>
    </row>
    <row r="23" spans="1:26" ht="16.149999999999999" customHeight="1" x14ac:dyDescent="0.3">
      <c r="A23" s="2717" t="s">
        <v>994</v>
      </c>
      <c r="B23" s="2717"/>
      <c r="C23" s="2717"/>
      <c r="D23" s="2717"/>
      <c r="E23" s="2717"/>
      <c r="F23" s="2717"/>
      <c r="G23" s="2717"/>
      <c r="H23" s="2717"/>
      <c r="I23" s="2717"/>
      <c r="J23" s="2717"/>
      <c r="K23" s="2717"/>
      <c r="L23" s="2717"/>
      <c r="M23" s="2717"/>
      <c r="N23" s="2717"/>
      <c r="O23" s="2717"/>
      <c r="P23" s="2717"/>
      <c r="Q23" s="2717"/>
      <c r="R23" s="2717"/>
      <c r="V23" s="2"/>
      <c r="W23" s="2"/>
    </row>
    <row r="24" spans="1:26" ht="16" thickBot="1" x14ac:dyDescent="0.4">
      <c r="B24" s="236"/>
      <c r="C24" s="235"/>
      <c r="D24" s="234"/>
      <c r="E24" s="234"/>
      <c r="F24" s="234"/>
      <c r="G24" s="234"/>
      <c r="H24" s="234"/>
      <c r="I24" s="234"/>
      <c r="J24" s="1052" t="s">
        <v>437</v>
      </c>
      <c r="K24" s="1052"/>
      <c r="L24" s="1052"/>
      <c r="M24" s="1052"/>
      <c r="N24" s="1923"/>
      <c r="O24" s="1924" t="s">
        <v>437</v>
      </c>
      <c r="P24" s="1924" t="s">
        <v>437</v>
      </c>
      <c r="Q24" s="1924"/>
      <c r="R24" s="1924" t="s">
        <v>829</v>
      </c>
      <c r="V24" s="1923"/>
      <c r="W24" s="1923"/>
    </row>
    <row r="25" spans="1:26" ht="65.5" hidden="1" thickBot="1" x14ac:dyDescent="0.3">
      <c r="B25" s="232" t="s">
        <v>322</v>
      </c>
      <c r="C25" s="94" t="s">
        <v>436</v>
      </c>
      <c r="D25" s="94" t="s">
        <v>435</v>
      </c>
      <c r="E25" s="94" t="s">
        <v>434</v>
      </c>
      <c r="F25" s="94" t="s">
        <v>321</v>
      </c>
      <c r="G25" s="94" t="s">
        <v>320</v>
      </c>
      <c r="H25" s="94"/>
      <c r="I25" s="94" t="s">
        <v>433</v>
      </c>
      <c r="J25" s="1053" t="s">
        <v>319</v>
      </c>
      <c r="K25" s="1053"/>
      <c r="L25" s="1925" t="s">
        <v>318</v>
      </c>
      <c r="M25" s="1925" t="s">
        <v>317</v>
      </c>
      <c r="N25" s="1926" t="s">
        <v>319</v>
      </c>
      <c r="O25" s="1927" t="s">
        <v>319</v>
      </c>
      <c r="P25" s="1927" t="s">
        <v>319</v>
      </c>
      <c r="Q25" s="1928" t="s">
        <v>319</v>
      </c>
      <c r="R25" s="1928" t="s">
        <v>319</v>
      </c>
      <c r="V25" s="1926" t="s">
        <v>319</v>
      </c>
      <c r="W25" s="1926" t="s">
        <v>319</v>
      </c>
    </row>
    <row r="26" spans="1:26" s="83" customFormat="1" ht="15.5" hidden="1" thickBot="1" x14ac:dyDescent="0.35">
      <c r="B26" s="229" t="s">
        <v>432</v>
      </c>
      <c r="C26" s="228" t="s">
        <v>71</v>
      </c>
      <c r="D26" s="228" t="s">
        <v>71</v>
      </c>
      <c r="E26" s="228" t="s">
        <v>71</v>
      </c>
      <c r="F26" s="228" t="s">
        <v>71</v>
      </c>
      <c r="G26" s="228" t="s">
        <v>71</v>
      </c>
      <c r="H26" s="228"/>
      <c r="I26" s="228" t="s">
        <v>71</v>
      </c>
      <c r="J26" s="1054">
        <f>J27+J70+J75+J89+J111+J150+J158+J172+J179</f>
        <v>69983.100000000006</v>
      </c>
      <c r="K26" s="1055"/>
      <c r="L26" s="1054">
        <f t="shared" ref="L26:R26" si="0">L27+L70+L75+L89+L111+L150+L158+L172+L179</f>
        <v>70391.000180000003</v>
      </c>
      <c r="M26" s="1054">
        <f t="shared" si="0"/>
        <v>70022.0995826</v>
      </c>
      <c r="N26" s="1929">
        <f t="shared" si="0"/>
        <v>69983.100000000006</v>
      </c>
      <c r="O26" s="1930">
        <f t="shared" si="0"/>
        <v>69983.100000000006</v>
      </c>
      <c r="P26" s="1930">
        <f t="shared" si="0"/>
        <v>69983.100000000006</v>
      </c>
      <c r="Q26" s="1930">
        <f t="shared" si="0"/>
        <v>69983.100000000006</v>
      </c>
      <c r="R26" s="1930">
        <f t="shared" si="0"/>
        <v>69983.100000000006</v>
      </c>
      <c r="S26" s="84"/>
      <c r="T26" s="84"/>
      <c r="U26" s="84"/>
      <c r="V26" s="1929">
        <f t="shared" ref="V26:W26" si="1">V27+V70+V75+V89+V111+V150+V158+V172+V179</f>
        <v>69983.100000000006</v>
      </c>
      <c r="W26" s="1929">
        <f t="shared" si="1"/>
        <v>69983.100000000006</v>
      </c>
      <c r="X26" s="84"/>
      <c r="Z26" s="2141"/>
    </row>
    <row r="27" spans="1:26" s="83" customFormat="1" ht="14.5" hidden="1" thickBot="1" x14ac:dyDescent="0.35">
      <c r="B27" s="194" t="s">
        <v>431</v>
      </c>
      <c r="C27" s="193" t="s">
        <v>430</v>
      </c>
      <c r="D27" s="225" t="s">
        <v>69</v>
      </c>
      <c r="E27" s="225"/>
      <c r="F27" s="225"/>
      <c r="G27" s="225"/>
      <c r="H27" s="225"/>
      <c r="I27" s="225"/>
      <c r="J27" s="1056">
        <f>J31+J36+J54+J61+J66</f>
        <v>16206.808000000001</v>
      </c>
      <c r="K27" s="1057"/>
      <c r="L27" s="1056">
        <f t="shared" ref="L27:R27" si="2">L31+L36+L54+L61+L66</f>
        <v>16980.082180000001</v>
      </c>
      <c r="M27" s="1056">
        <f t="shared" si="2"/>
        <v>17936.364582600003</v>
      </c>
      <c r="N27" s="1931">
        <f t="shared" si="2"/>
        <v>16206.808000000001</v>
      </c>
      <c r="O27" s="1932">
        <f t="shared" si="2"/>
        <v>16206.808000000001</v>
      </c>
      <c r="P27" s="1932">
        <f t="shared" si="2"/>
        <v>16206.808000000001</v>
      </c>
      <c r="Q27" s="1932">
        <f t="shared" si="2"/>
        <v>16206.808000000001</v>
      </c>
      <c r="R27" s="1932">
        <f t="shared" si="2"/>
        <v>16206.808000000001</v>
      </c>
      <c r="S27" s="84"/>
      <c r="T27" s="84"/>
      <c r="U27" s="84"/>
      <c r="V27" s="1931">
        <f t="shared" ref="V27:W27" si="3">V31+V36+V54+V61+V66</f>
        <v>16206.808000000001</v>
      </c>
      <c r="W27" s="1931">
        <f t="shared" si="3"/>
        <v>16206.808000000001</v>
      </c>
      <c r="X27" s="84"/>
      <c r="Z27" s="2141"/>
    </row>
    <row r="28" spans="1:26" s="83" customFormat="1" ht="26.5" hidden="1" thickBot="1" x14ac:dyDescent="0.35">
      <c r="B28" s="215" t="s">
        <v>429</v>
      </c>
      <c r="C28" s="118"/>
      <c r="D28" s="89" t="s">
        <v>69</v>
      </c>
      <c r="E28" s="89" t="s">
        <v>427</v>
      </c>
      <c r="F28" s="113"/>
      <c r="G28" s="118"/>
      <c r="H28" s="118"/>
      <c r="I28" s="89" t="s">
        <v>427</v>
      </c>
      <c r="J28" s="1058"/>
      <c r="K28" s="1058"/>
      <c r="L28" s="1058"/>
      <c r="M28" s="1058"/>
      <c r="N28" s="1933"/>
      <c r="O28" s="1934"/>
      <c r="P28" s="1934"/>
      <c r="Q28" s="1934"/>
      <c r="R28" s="1934"/>
      <c r="S28" s="84"/>
      <c r="T28" s="84"/>
      <c r="U28" s="84"/>
      <c r="V28" s="1933"/>
      <c r="W28" s="1933"/>
      <c r="X28" s="84"/>
      <c r="Z28" s="2141"/>
    </row>
    <row r="29" spans="1:26" s="83" customFormat="1" ht="39.5" hidden="1" thickBot="1" x14ac:dyDescent="0.35">
      <c r="B29" s="215" t="s">
        <v>126</v>
      </c>
      <c r="C29" s="118"/>
      <c r="D29" s="89" t="s">
        <v>69</v>
      </c>
      <c r="E29" s="89" t="s">
        <v>427</v>
      </c>
      <c r="F29" s="113">
        <v>9100000</v>
      </c>
      <c r="G29" s="118"/>
      <c r="H29" s="118"/>
      <c r="I29" s="89" t="s">
        <v>427</v>
      </c>
      <c r="J29" s="1058"/>
      <c r="K29" s="1058"/>
      <c r="L29" s="1058"/>
      <c r="M29" s="1058"/>
      <c r="N29" s="1933"/>
      <c r="O29" s="1934"/>
      <c r="P29" s="1934"/>
      <c r="Q29" s="1934"/>
      <c r="R29" s="1934"/>
      <c r="S29" s="84"/>
      <c r="T29" s="84"/>
      <c r="U29" s="84"/>
      <c r="V29" s="1933"/>
      <c r="W29" s="1933"/>
      <c r="X29" s="84"/>
      <c r="Z29" s="2141"/>
    </row>
    <row r="30" spans="1:26" s="83" customFormat="1" ht="25.5" hidden="1" customHeight="1" x14ac:dyDescent="0.3">
      <c r="B30" s="170" t="s">
        <v>428</v>
      </c>
      <c r="C30" s="118"/>
      <c r="D30" s="33" t="s">
        <v>69</v>
      </c>
      <c r="E30" s="33" t="s">
        <v>427</v>
      </c>
      <c r="F30" s="112">
        <v>9100003</v>
      </c>
      <c r="G30" s="118"/>
      <c r="H30" s="118"/>
      <c r="I30" s="33" t="s">
        <v>427</v>
      </c>
      <c r="J30" s="1058"/>
      <c r="K30" s="1058"/>
      <c r="L30" s="1058"/>
      <c r="M30" s="1058"/>
      <c r="N30" s="1933"/>
      <c r="O30" s="1934"/>
      <c r="P30" s="1934"/>
      <c r="Q30" s="1934"/>
      <c r="R30" s="1934"/>
      <c r="S30" s="84"/>
      <c r="T30" s="84"/>
      <c r="U30" s="84"/>
      <c r="V30" s="1933"/>
      <c r="W30" s="1933"/>
      <c r="X30" s="84"/>
      <c r="Z30" s="2141"/>
    </row>
    <row r="31" spans="1:26" s="83" customFormat="1" ht="39.5" hidden="1" thickBot="1" x14ac:dyDescent="0.35">
      <c r="B31" s="215" t="s">
        <v>114</v>
      </c>
      <c r="C31" s="118"/>
      <c r="D31" s="89" t="s">
        <v>69</v>
      </c>
      <c r="E31" s="89" t="s">
        <v>112</v>
      </c>
      <c r="F31" s="112"/>
      <c r="G31" s="118"/>
      <c r="H31" s="118"/>
      <c r="I31" s="89" t="s">
        <v>112</v>
      </c>
      <c r="J31" s="1059">
        <f>J32</f>
        <v>2155.7860000000001</v>
      </c>
      <c r="K31" s="1058"/>
      <c r="L31" s="1059">
        <f t="shared" ref="L31:R32" si="4">L32</f>
        <v>2285.1331600000003</v>
      </c>
      <c r="M31" s="1059">
        <f t="shared" si="4"/>
        <v>2445.0924812000003</v>
      </c>
      <c r="N31" s="1933">
        <f t="shared" si="4"/>
        <v>2155.7860000000001</v>
      </c>
      <c r="O31" s="1934">
        <f t="shared" si="4"/>
        <v>2155.7860000000001</v>
      </c>
      <c r="P31" s="1934">
        <f t="shared" si="4"/>
        <v>2155.7860000000001</v>
      </c>
      <c r="Q31" s="1934">
        <f t="shared" si="4"/>
        <v>2155.7860000000001</v>
      </c>
      <c r="R31" s="1934">
        <f t="shared" si="4"/>
        <v>2155.7860000000001</v>
      </c>
      <c r="S31" s="84"/>
      <c r="T31" s="84"/>
      <c r="U31" s="84"/>
      <c r="V31" s="1933">
        <f t="shared" ref="V31:W32" si="5">V32</f>
        <v>2155.7860000000001</v>
      </c>
      <c r="W31" s="1933">
        <f t="shared" si="5"/>
        <v>2155.7860000000001</v>
      </c>
      <c r="X31" s="84"/>
      <c r="Z31" s="2141"/>
    </row>
    <row r="32" spans="1:26" s="83" customFormat="1" ht="39.5" hidden="1" thickBot="1" x14ac:dyDescent="0.35">
      <c r="B32" s="215" t="s">
        <v>126</v>
      </c>
      <c r="C32" s="118"/>
      <c r="D32" s="89" t="s">
        <v>69</v>
      </c>
      <c r="E32" s="89" t="s">
        <v>112</v>
      </c>
      <c r="F32" s="113">
        <v>9100000</v>
      </c>
      <c r="G32" s="118"/>
      <c r="H32" s="118"/>
      <c r="I32" s="89" t="s">
        <v>112</v>
      </c>
      <c r="J32" s="1059">
        <f>J33</f>
        <v>2155.7860000000001</v>
      </c>
      <c r="K32" s="1059"/>
      <c r="L32" s="1059">
        <f t="shared" si="4"/>
        <v>2285.1331600000003</v>
      </c>
      <c r="M32" s="1059">
        <f t="shared" si="4"/>
        <v>2445.0924812000003</v>
      </c>
      <c r="N32" s="1933">
        <f t="shared" si="4"/>
        <v>2155.7860000000001</v>
      </c>
      <c r="O32" s="1934">
        <f t="shared" si="4"/>
        <v>2155.7860000000001</v>
      </c>
      <c r="P32" s="1934">
        <f t="shared" si="4"/>
        <v>2155.7860000000001</v>
      </c>
      <c r="Q32" s="1934">
        <f t="shared" si="4"/>
        <v>2155.7860000000001</v>
      </c>
      <c r="R32" s="1934">
        <f t="shared" si="4"/>
        <v>2155.7860000000001</v>
      </c>
      <c r="S32" s="84"/>
      <c r="T32" s="84"/>
      <c r="U32" s="84"/>
      <c r="V32" s="1933">
        <f t="shared" si="5"/>
        <v>2155.7860000000001</v>
      </c>
      <c r="W32" s="1933">
        <f t="shared" si="5"/>
        <v>2155.7860000000001</v>
      </c>
      <c r="X32" s="84"/>
      <c r="Z32" s="2141"/>
    </row>
    <row r="33" spans="1:256" s="83" customFormat="1" ht="22.15" hidden="1" customHeight="1" x14ac:dyDescent="0.3">
      <c r="B33" s="170" t="s">
        <v>153</v>
      </c>
      <c r="C33" s="118"/>
      <c r="D33" s="33" t="s">
        <v>69</v>
      </c>
      <c r="E33" s="33" t="s">
        <v>112</v>
      </c>
      <c r="F33" s="113">
        <v>9100004</v>
      </c>
      <c r="G33" s="118"/>
      <c r="H33" s="118"/>
      <c r="I33" s="33" t="s">
        <v>112</v>
      </c>
      <c r="J33" s="1059">
        <f>J34+J35</f>
        <v>2155.7860000000001</v>
      </c>
      <c r="K33" s="1058"/>
      <c r="L33" s="1059">
        <f t="shared" ref="L33:R33" si="6">L34+L35</f>
        <v>2285.1331600000003</v>
      </c>
      <c r="M33" s="1059">
        <f t="shared" si="6"/>
        <v>2445.0924812000003</v>
      </c>
      <c r="N33" s="1933">
        <f t="shared" si="6"/>
        <v>2155.7860000000001</v>
      </c>
      <c r="O33" s="1934">
        <f t="shared" si="6"/>
        <v>2155.7860000000001</v>
      </c>
      <c r="P33" s="1934">
        <f t="shared" si="6"/>
        <v>2155.7860000000001</v>
      </c>
      <c r="Q33" s="1934">
        <f t="shared" si="6"/>
        <v>2155.7860000000001</v>
      </c>
      <c r="R33" s="1934">
        <f t="shared" si="6"/>
        <v>2155.7860000000001</v>
      </c>
      <c r="S33" s="84"/>
      <c r="T33" s="84"/>
      <c r="U33" s="84"/>
      <c r="V33" s="1933">
        <f t="shared" ref="V33:W33" si="7">V34+V35</f>
        <v>2155.7860000000001</v>
      </c>
      <c r="W33" s="1933">
        <f t="shared" si="7"/>
        <v>2155.7860000000001</v>
      </c>
      <c r="X33" s="84"/>
      <c r="Z33" s="2141"/>
    </row>
    <row r="34" spans="1:256" s="83" customFormat="1" ht="16.149999999999999" hidden="1" customHeight="1" x14ac:dyDescent="0.3">
      <c r="B34" s="1935" t="s">
        <v>410</v>
      </c>
      <c r="C34" s="118"/>
      <c r="D34" s="33" t="s">
        <v>69</v>
      </c>
      <c r="E34" s="33" t="s">
        <v>112</v>
      </c>
      <c r="F34" s="112">
        <v>9100004</v>
      </c>
      <c r="G34" s="119">
        <v>120</v>
      </c>
      <c r="H34" s="119"/>
      <c r="I34" s="33" t="s">
        <v>112</v>
      </c>
      <c r="J34" s="1060">
        <v>1300.211</v>
      </c>
      <c r="K34" s="1059"/>
      <c r="L34" s="1061">
        <f>J34*106%</f>
        <v>1378.2236600000001</v>
      </c>
      <c r="M34" s="1061">
        <f>L34*107%</f>
        <v>1474.6993162000001</v>
      </c>
      <c r="N34" s="1936">
        <v>1300.211</v>
      </c>
      <c r="O34" s="1937">
        <v>1300.211</v>
      </c>
      <c r="P34" s="1937">
        <v>1300.211</v>
      </c>
      <c r="Q34" s="1937">
        <v>1300.211</v>
      </c>
      <c r="R34" s="1937">
        <v>1300.211</v>
      </c>
      <c r="S34" s="84"/>
      <c r="T34" s="84"/>
      <c r="U34" s="84"/>
      <c r="V34" s="1936">
        <v>1300.211</v>
      </c>
      <c r="W34" s="1936">
        <v>1300.211</v>
      </c>
      <c r="X34" s="84"/>
      <c r="Z34" s="2141"/>
    </row>
    <row r="35" spans="1:256" s="83" customFormat="1" ht="18.649999999999999" hidden="1" customHeight="1" x14ac:dyDescent="0.3">
      <c r="B35" s="1935" t="s">
        <v>16</v>
      </c>
      <c r="C35" s="118"/>
      <c r="D35" s="33" t="s">
        <v>69</v>
      </c>
      <c r="E35" s="33" t="s">
        <v>112</v>
      </c>
      <c r="F35" s="112">
        <v>9100004</v>
      </c>
      <c r="G35" s="119">
        <v>240</v>
      </c>
      <c r="H35" s="119"/>
      <c r="I35" s="33" t="s">
        <v>112</v>
      </c>
      <c r="J35" s="1062">
        <v>855.57500000000005</v>
      </c>
      <c r="K35" s="1058"/>
      <c r="L35" s="1063">
        <f>J35*106%</f>
        <v>906.90950000000009</v>
      </c>
      <c r="M35" s="1063">
        <f>L35*107%</f>
        <v>970.39316500000018</v>
      </c>
      <c r="N35" s="1936">
        <v>855.57500000000005</v>
      </c>
      <c r="O35" s="1937">
        <v>855.57500000000005</v>
      </c>
      <c r="P35" s="1937">
        <v>855.57500000000005</v>
      </c>
      <c r="Q35" s="1937">
        <v>855.57500000000005</v>
      </c>
      <c r="R35" s="1937">
        <v>855.57500000000005</v>
      </c>
      <c r="S35" s="84"/>
      <c r="T35" s="84"/>
      <c r="U35" s="84"/>
      <c r="V35" s="1936">
        <v>855.57500000000005</v>
      </c>
      <c r="W35" s="1936">
        <v>855.57500000000005</v>
      </c>
      <c r="X35" s="84"/>
      <c r="Z35" s="2141"/>
    </row>
    <row r="36" spans="1:256" ht="39.5" hidden="1" thickBot="1" x14ac:dyDescent="0.3">
      <c r="B36" s="52" t="s">
        <v>105</v>
      </c>
      <c r="C36" s="88" t="s">
        <v>106</v>
      </c>
      <c r="D36" s="94" t="s">
        <v>69</v>
      </c>
      <c r="E36" s="94" t="s">
        <v>103</v>
      </c>
      <c r="F36" s="94" t="s">
        <v>71</v>
      </c>
      <c r="G36" s="94" t="s">
        <v>71</v>
      </c>
      <c r="H36" s="94"/>
      <c r="I36" s="94" t="s">
        <v>103</v>
      </c>
      <c r="J36" s="1064">
        <f>J37</f>
        <v>11843.717000000001</v>
      </c>
      <c r="K36" s="1065"/>
      <c r="L36" s="1064">
        <f t="shared" ref="L36:R36" si="8">L37</f>
        <v>12487.644020000002</v>
      </c>
      <c r="M36" s="1064">
        <f t="shared" si="8"/>
        <v>13283.967101400003</v>
      </c>
      <c r="N36" s="1938">
        <f t="shared" si="8"/>
        <v>11843.717000000001</v>
      </c>
      <c r="O36" s="1939">
        <f t="shared" si="8"/>
        <v>11843.717000000001</v>
      </c>
      <c r="P36" s="1939">
        <f t="shared" si="8"/>
        <v>11843.717000000001</v>
      </c>
      <c r="Q36" s="1939">
        <f t="shared" si="8"/>
        <v>11843.717000000001</v>
      </c>
      <c r="R36" s="1939">
        <f t="shared" si="8"/>
        <v>11843.717000000001</v>
      </c>
      <c r="V36" s="1938">
        <f t="shared" ref="V36:W36" si="9">V37</f>
        <v>11843.717000000001</v>
      </c>
      <c r="W36" s="1938">
        <f t="shared" si="9"/>
        <v>11843.717000000001</v>
      </c>
    </row>
    <row r="37" spans="1:256" ht="42.75" hidden="1" customHeight="1" x14ac:dyDescent="0.25">
      <c r="B37" s="52" t="s">
        <v>126</v>
      </c>
      <c r="C37" s="94" t="s">
        <v>106</v>
      </c>
      <c r="D37" s="94" t="s">
        <v>69</v>
      </c>
      <c r="E37" s="94" t="s">
        <v>103</v>
      </c>
      <c r="F37" s="94">
        <v>9100000</v>
      </c>
      <c r="G37" s="94" t="s">
        <v>71</v>
      </c>
      <c r="H37" s="94"/>
      <c r="I37" s="94" t="s">
        <v>103</v>
      </c>
      <c r="J37" s="1064">
        <f>J38+J41+J43+J45+J48+J51</f>
        <v>11843.717000000001</v>
      </c>
      <c r="K37" s="1065"/>
      <c r="L37" s="1064">
        <f t="shared" ref="L37:R37" si="10">L38+L41+L43+L45+L48+L51</f>
        <v>12487.644020000002</v>
      </c>
      <c r="M37" s="1064">
        <f t="shared" si="10"/>
        <v>13283.967101400003</v>
      </c>
      <c r="N37" s="1938">
        <f t="shared" si="10"/>
        <v>11843.717000000001</v>
      </c>
      <c r="O37" s="1939">
        <f t="shared" si="10"/>
        <v>11843.717000000001</v>
      </c>
      <c r="P37" s="1939">
        <f t="shared" si="10"/>
        <v>11843.717000000001</v>
      </c>
      <c r="Q37" s="1939">
        <f t="shared" si="10"/>
        <v>11843.717000000001</v>
      </c>
      <c r="R37" s="1939">
        <f t="shared" si="10"/>
        <v>11843.717000000001</v>
      </c>
      <c r="V37" s="1938">
        <f t="shared" ref="V37:W37" si="11">V38+V41+V43+V45+V48+V51</f>
        <v>11843.717000000001</v>
      </c>
      <c r="W37" s="1938">
        <f t="shared" si="11"/>
        <v>11843.717000000001</v>
      </c>
    </row>
    <row r="38" spans="1:256" ht="21" hidden="1" customHeight="1" x14ac:dyDescent="0.25">
      <c r="B38" s="49" t="s">
        <v>153</v>
      </c>
      <c r="C38" s="88" t="s">
        <v>106</v>
      </c>
      <c r="D38" s="88" t="s">
        <v>69</v>
      </c>
      <c r="E38" s="88" t="s">
        <v>103</v>
      </c>
      <c r="F38" s="94">
        <v>9100004</v>
      </c>
      <c r="G38" s="88" t="s">
        <v>71</v>
      </c>
      <c r="H38" s="88"/>
      <c r="I38" s="88" t="s">
        <v>103</v>
      </c>
      <c r="J38" s="1066">
        <f>J39+J40</f>
        <v>9577.5059999999994</v>
      </c>
      <c r="K38" s="1063"/>
      <c r="L38" s="1066">
        <f t="shared" ref="L38:R38" si="12">L39+L40</f>
        <v>10152.156360000001</v>
      </c>
      <c r="M38" s="1066">
        <f t="shared" si="12"/>
        <v>10862.807305200002</v>
      </c>
      <c r="N38" s="1940">
        <f t="shared" si="12"/>
        <v>9577.5059999999994</v>
      </c>
      <c r="O38" s="1941">
        <f t="shared" si="12"/>
        <v>9577.5059999999994</v>
      </c>
      <c r="P38" s="1941">
        <f t="shared" si="12"/>
        <v>9577.5059999999994</v>
      </c>
      <c r="Q38" s="1941">
        <f t="shared" si="12"/>
        <v>9577.5059999999994</v>
      </c>
      <c r="R38" s="1941">
        <f t="shared" si="12"/>
        <v>9577.5059999999994</v>
      </c>
      <c r="V38" s="1940">
        <f t="shared" ref="V38:W38" si="13">V39+V40</f>
        <v>9577.5059999999994</v>
      </c>
      <c r="W38" s="1940">
        <f t="shared" si="13"/>
        <v>9577.5059999999994</v>
      </c>
    </row>
    <row r="39" spans="1:256" s="2" customFormat="1" ht="21" hidden="1" customHeight="1" x14ac:dyDescent="0.3">
      <c r="A39" s="1"/>
      <c r="B39" s="1935" t="s">
        <v>410</v>
      </c>
      <c r="C39" s="88"/>
      <c r="D39" s="88" t="s">
        <v>69</v>
      </c>
      <c r="E39" s="88" t="s">
        <v>103</v>
      </c>
      <c r="F39" s="88">
        <v>9100004</v>
      </c>
      <c r="G39" s="88">
        <v>120</v>
      </c>
      <c r="H39" s="88"/>
      <c r="I39" s="88" t="s">
        <v>103</v>
      </c>
      <c r="J39" s="1061">
        <v>7361.933</v>
      </c>
      <c r="K39" s="1061"/>
      <c r="L39" s="1061">
        <f>J39*106%</f>
        <v>7803.6489799999999</v>
      </c>
      <c r="M39" s="1061">
        <f>L39*107%</f>
        <v>8349.9044086000013</v>
      </c>
      <c r="N39" s="1940">
        <v>7361.933</v>
      </c>
      <c r="O39" s="1941">
        <v>7361.933</v>
      </c>
      <c r="P39" s="1941">
        <v>7361.933</v>
      </c>
      <c r="Q39" s="1941">
        <v>7361.933</v>
      </c>
      <c r="R39" s="1941">
        <v>7361.933</v>
      </c>
      <c r="V39" s="1940">
        <v>7361.933</v>
      </c>
      <c r="W39" s="1940">
        <v>7361.933</v>
      </c>
      <c r="Y39" s="1"/>
      <c r="Z39" s="237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21" hidden="1" customHeight="1" x14ac:dyDescent="0.3">
      <c r="A40" s="1"/>
      <c r="B40" s="1935" t="s">
        <v>16</v>
      </c>
      <c r="C40" s="88"/>
      <c r="D40" s="88" t="s">
        <v>69</v>
      </c>
      <c r="E40" s="88" t="s">
        <v>103</v>
      </c>
      <c r="F40" s="88">
        <v>9100004</v>
      </c>
      <c r="G40" s="88">
        <v>240</v>
      </c>
      <c r="H40" s="88"/>
      <c r="I40" s="88" t="s">
        <v>103</v>
      </c>
      <c r="J40" s="1061">
        <v>2215.5729999999999</v>
      </c>
      <c r="K40" s="1061"/>
      <c r="L40" s="1061">
        <f>J40*106%</f>
        <v>2348.50738</v>
      </c>
      <c r="M40" s="1061">
        <f>L40*107%</f>
        <v>2512.9028966000001</v>
      </c>
      <c r="N40" s="1940">
        <v>2215.5729999999999</v>
      </c>
      <c r="O40" s="1941">
        <v>2215.5729999999999</v>
      </c>
      <c r="P40" s="1941">
        <v>2215.5729999999999</v>
      </c>
      <c r="Q40" s="1941">
        <v>2215.5729999999999</v>
      </c>
      <c r="R40" s="1941">
        <v>2215.5729999999999</v>
      </c>
      <c r="V40" s="1940">
        <v>2215.5729999999999</v>
      </c>
      <c r="W40" s="1940">
        <v>2215.5729999999999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6.5" hidden="1" thickBot="1" x14ac:dyDescent="0.3">
      <c r="A41" s="1"/>
      <c r="B41" s="49" t="s">
        <v>426</v>
      </c>
      <c r="C41" s="88" t="s">
        <v>106</v>
      </c>
      <c r="D41" s="88" t="s">
        <v>69</v>
      </c>
      <c r="E41" s="88" t="s">
        <v>103</v>
      </c>
      <c r="F41" s="34" t="s">
        <v>425</v>
      </c>
      <c r="G41" s="9"/>
      <c r="H41" s="9"/>
      <c r="I41" s="88" t="s">
        <v>103</v>
      </c>
      <c r="J41" s="1060">
        <f>J42</f>
        <v>1154.6110000000001</v>
      </c>
      <c r="K41" s="1060"/>
      <c r="L41" s="1060">
        <f t="shared" ref="L41:R41" si="14">L42</f>
        <v>1223.8876600000001</v>
      </c>
      <c r="M41" s="1060">
        <f t="shared" si="14"/>
        <v>1309.5597962000002</v>
      </c>
      <c r="N41" s="1936">
        <f t="shared" si="14"/>
        <v>1154.6110000000001</v>
      </c>
      <c r="O41" s="1937">
        <f t="shared" si="14"/>
        <v>1154.6110000000001</v>
      </c>
      <c r="P41" s="1937">
        <f t="shared" si="14"/>
        <v>1154.6110000000001</v>
      </c>
      <c r="Q41" s="1937">
        <f t="shared" si="14"/>
        <v>1154.6110000000001</v>
      </c>
      <c r="R41" s="1937">
        <f t="shared" si="14"/>
        <v>1154.6110000000001</v>
      </c>
      <c r="V41" s="1936">
        <f t="shared" ref="V41:W41" si="15">V42</f>
        <v>1154.6110000000001</v>
      </c>
      <c r="W41" s="1936">
        <f t="shared" si="15"/>
        <v>1154.6110000000001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13.5" hidden="1" thickBot="1" x14ac:dyDescent="0.35">
      <c r="A42" s="1"/>
      <c r="B42" s="1935" t="s">
        <v>410</v>
      </c>
      <c r="C42" s="88"/>
      <c r="D42" s="88" t="s">
        <v>69</v>
      </c>
      <c r="E42" s="88" t="s">
        <v>103</v>
      </c>
      <c r="F42" s="9" t="s">
        <v>425</v>
      </c>
      <c r="G42" s="88">
        <v>120</v>
      </c>
      <c r="H42" s="88"/>
      <c r="I42" s="88" t="s">
        <v>103</v>
      </c>
      <c r="J42" s="1060">
        <v>1154.6110000000001</v>
      </c>
      <c r="K42" s="1060"/>
      <c r="L42" s="1061">
        <f>J42*106%</f>
        <v>1223.8876600000001</v>
      </c>
      <c r="M42" s="1061">
        <f>L42*107%</f>
        <v>1309.5597962000002</v>
      </c>
      <c r="N42" s="1936">
        <v>1154.6110000000001</v>
      </c>
      <c r="O42" s="1937">
        <v>1154.6110000000001</v>
      </c>
      <c r="P42" s="1937">
        <v>1154.6110000000001</v>
      </c>
      <c r="Q42" s="1937">
        <v>1154.6110000000001</v>
      </c>
      <c r="R42" s="1937">
        <v>1154.6110000000001</v>
      </c>
      <c r="V42" s="1936">
        <v>1154.6110000000001</v>
      </c>
      <c r="W42" s="1936"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26.5" hidden="1" thickBot="1" x14ac:dyDescent="0.3">
      <c r="A43" s="1"/>
      <c r="B43" s="90" t="s">
        <v>424</v>
      </c>
      <c r="C43" s="88"/>
      <c r="D43" s="88" t="s">
        <v>69</v>
      </c>
      <c r="E43" s="88" t="s">
        <v>103</v>
      </c>
      <c r="F43" s="34" t="s">
        <v>141</v>
      </c>
      <c r="G43" s="9"/>
      <c r="H43" s="9"/>
      <c r="I43" s="88" t="s">
        <v>103</v>
      </c>
      <c r="J43" s="1065">
        <f>J44</f>
        <v>171.8</v>
      </c>
      <c r="K43" s="1065"/>
      <c r="L43" s="1065">
        <f t="shared" ref="L43:R43" si="16">L44</f>
        <v>171.8</v>
      </c>
      <c r="M43" s="1065">
        <f t="shared" si="16"/>
        <v>171.8</v>
      </c>
      <c r="N43" s="1938">
        <f t="shared" si="16"/>
        <v>171.8</v>
      </c>
      <c r="O43" s="1939">
        <f t="shared" si="16"/>
        <v>171.8</v>
      </c>
      <c r="P43" s="1939">
        <f t="shared" si="16"/>
        <v>171.8</v>
      </c>
      <c r="Q43" s="1939">
        <f t="shared" si="16"/>
        <v>171.8</v>
      </c>
      <c r="R43" s="1939">
        <f t="shared" si="16"/>
        <v>171.8</v>
      </c>
      <c r="V43" s="1938">
        <f t="shared" ref="V43:W43" si="17">V44</f>
        <v>171.8</v>
      </c>
      <c r="W43" s="1938">
        <f t="shared" si="17"/>
        <v>171.8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13.5" hidden="1" thickBot="1" x14ac:dyDescent="0.35">
      <c r="A44" s="1"/>
      <c r="B44" s="1935" t="s">
        <v>142</v>
      </c>
      <c r="C44" s="88"/>
      <c r="D44" s="88" t="s">
        <v>69</v>
      </c>
      <c r="E44" s="88" t="s">
        <v>103</v>
      </c>
      <c r="F44" s="9" t="s">
        <v>141</v>
      </c>
      <c r="G44" s="9" t="s">
        <v>140</v>
      </c>
      <c r="H44" s="9"/>
      <c r="I44" s="88" t="s">
        <v>103</v>
      </c>
      <c r="J44" s="1063">
        <v>171.8</v>
      </c>
      <c r="K44" s="1063"/>
      <c r="L44" s="1063">
        <v>171.8</v>
      </c>
      <c r="M44" s="1063">
        <v>171.8</v>
      </c>
      <c r="N44" s="1940">
        <v>171.8</v>
      </c>
      <c r="O44" s="1941">
        <v>171.8</v>
      </c>
      <c r="P44" s="1941">
        <v>171.8</v>
      </c>
      <c r="Q44" s="1941">
        <v>171.8</v>
      </c>
      <c r="R44" s="1941">
        <v>171.8</v>
      </c>
      <c r="V44" s="1940">
        <v>171.8</v>
      </c>
      <c r="W44" s="1940"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45.75" hidden="1" customHeight="1" x14ac:dyDescent="0.25">
      <c r="A45" s="1"/>
      <c r="B45" s="218" t="s">
        <v>423</v>
      </c>
      <c r="C45" s="88"/>
      <c r="D45" s="9" t="s">
        <v>69</v>
      </c>
      <c r="E45" s="9" t="s">
        <v>103</v>
      </c>
      <c r="F45" s="34" t="s">
        <v>136</v>
      </c>
      <c r="G45" s="9"/>
      <c r="H45" s="9"/>
      <c r="I45" s="9" t="s">
        <v>103</v>
      </c>
      <c r="J45" s="1065">
        <f>J47</f>
        <v>263</v>
      </c>
      <c r="K45" s="1065"/>
      <c r="L45" s="1065">
        <f t="shared" ref="L45:R45" si="18">L47</f>
        <v>263</v>
      </c>
      <c r="M45" s="1065">
        <f t="shared" si="18"/>
        <v>263</v>
      </c>
      <c r="N45" s="1938">
        <f t="shared" si="18"/>
        <v>263</v>
      </c>
      <c r="O45" s="1939">
        <f t="shared" si="18"/>
        <v>263</v>
      </c>
      <c r="P45" s="1939">
        <f t="shared" si="18"/>
        <v>263</v>
      </c>
      <c r="Q45" s="1939">
        <f t="shared" si="18"/>
        <v>263</v>
      </c>
      <c r="R45" s="1939">
        <f t="shared" si="18"/>
        <v>263</v>
      </c>
      <c r="V45" s="1938">
        <f t="shared" ref="V45:W45" si="19">V47</f>
        <v>263</v>
      </c>
      <c r="W45" s="1938">
        <f t="shared" si="19"/>
        <v>263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6.5" hidden="1" customHeight="1" x14ac:dyDescent="0.25">
      <c r="A46" s="1"/>
      <c r="B46" s="42" t="s">
        <v>138</v>
      </c>
      <c r="C46" s="9"/>
      <c r="D46" s="9" t="s">
        <v>69</v>
      </c>
      <c r="E46" s="9" t="s">
        <v>103</v>
      </c>
      <c r="F46" s="9" t="s">
        <v>137</v>
      </c>
      <c r="G46" s="9"/>
      <c r="H46" s="9"/>
      <c r="I46" s="9" t="s">
        <v>103</v>
      </c>
      <c r="J46" s="1062"/>
      <c r="K46" s="1062"/>
      <c r="L46" s="1062"/>
      <c r="M46" s="1062"/>
      <c r="N46" s="1936"/>
      <c r="O46" s="1937"/>
      <c r="P46" s="1937"/>
      <c r="Q46" s="1937"/>
      <c r="R46" s="1937"/>
      <c r="V46" s="1936"/>
      <c r="W46" s="1936"/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5" hidden="1" customHeight="1" x14ac:dyDescent="0.3">
      <c r="A47" s="1"/>
      <c r="B47" s="1935" t="s">
        <v>123</v>
      </c>
      <c r="C47" s="9"/>
      <c r="D47" s="9" t="s">
        <v>69</v>
      </c>
      <c r="E47" s="9" t="s">
        <v>103</v>
      </c>
      <c r="F47" s="9" t="s">
        <v>136</v>
      </c>
      <c r="G47" s="9" t="s">
        <v>120</v>
      </c>
      <c r="H47" s="9"/>
      <c r="I47" s="9" t="s">
        <v>103</v>
      </c>
      <c r="J47" s="1062">
        <v>263</v>
      </c>
      <c r="K47" s="1062"/>
      <c r="L47" s="1062">
        <v>263</v>
      </c>
      <c r="M47" s="1062">
        <v>263</v>
      </c>
      <c r="N47" s="1936">
        <v>263</v>
      </c>
      <c r="O47" s="1937">
        <v>263</v>
      </c>
      <c r="P47" s="1937">
        <v>263</v>
      </c>
      <c r="Q47" s="1937">
        <v>263</v>
      </c>
      <c r="R47" s="1937">
        <v>263</v>
      </c>
      <c r="V47" s="1936">
        <v>263</v>
      </c>
      <c r="W47" s="1936">
        <v>263</v>
      </c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67.5" hidden="1" customHeight="1" x14ac:dyDescent="0.25">
      <c r="A48" s="1"/>
      <c r="B48" s="223" t="s">
        <v>422</v>
      </c>
      <c r="C48" s="9"/>
      <c r="D48" s="9" t="s">
        <v>69</v>
      </c>
      <c r="E48" s="9" t="s">
        <v>103</v>
      </c>
      <c r="F48" s="34" t="s">
        <v>132</v>
      </c>
      <c r="G48" s="9"/>
      <c r="H48" s="9"/>
      <c r="I48" s="9" t="s">
        <v>103</v>
      </c>
      <c r="J48" s="1058">
        <f>J49</f>
        <v>130.1</v>
      </c>
      <c r="K48" s="1058"/>
      <c r="L48" s="1058">
        <f t="shared" ref="L48:R48" si="20">L49</f>
        <v>130.1</v>
      </c>
      <c r="M48" s="1058">
        <f t="shared" si="20"/>
        <v>130.1</v>
      </c>
      <c r="N48" s="1933">
        <f t="shared" si="20"/>
        <v>130.1</v>
      </c>
      <c r="O48" s="1934">
        <f t="shared" si="20"/>
        <v>130.1</v>
      </c>
      <c r="P48" s="1934">
        <f t="shared" si="20"/>
        <v>130.1</v>
      </c>
      <c r="Q48" s="1934">
        <f t="shared" si="20"/>
        <v>130.1</v>
      </c>
      <c r="R48" s="1934">
        <f t="shared" si="20"/>
        <v>130.1</v>
      </c>
      <c r="V48" s="1933">
        <f t="shared" ref="V48:W48" si="21">V49</f>
        <v>130.1</v>
      </c>
      <c r="W48" s="1933">
        <f t="shared" si="21"/>
        <v>130.1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15" hidden="1" customHeight="1" x14ac:dyDescent="0.3">
      <c r="A49" s="1"/>
      <c r="B49" s="1935" t="s">
        <v>123</v>
      </c>
      <c r="C49" s="9"/>
      <c r="D49" s="9" t="s">
        <v>69</v>
      </c>
      <c r="E49" s="9" t="s">
        <v>103</v>
      </c>
      <c r="F49" s="9" t="s">
        <v>132</v>
      </c>
      <c r="G49" s="9" t="s">
        <v>120</v>
      </c>
      <c r="H49" s="9"/>
      <c r="I49" s="9" t="s">
        <v>103</v>
      </c>
      <c r="J49" s="1062">
        <v>130.1</v>
      </c>
      <c r="K49" s="1062"/>
      <c r="L49" s="1062">
        <v>130.1</v>
      </c>
      <c r="M49" s="1062">
        <v>130.1</v>
      </c>
      <c r="N49" s="1936">
        <v>130.1</v>
      </c>
      <c r="O49" s="1937">
        <v>130.1</v>
      </c>
      <c r="P49" s="1937">
        <v>130.1</v>
      </c>
      <c r="Q49" s="1937">
        <v>130.1</v>
      </c>
      <c r="R49" s="1937">
        <v>130.1</v>
      </c>
      <c r="V49" s="1936">
        <v>130.1</v>
      </c>
      <c r="W49" s="1936"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60.65" hidden="1" customHeight="1" x14ac:dyDescent="0.25">
      <c r="A50" s="1"/>
      <c r="B50" s="109" t="s">
        <v>134</v>
      </c>
      <c r="C50" s="88"/>
      <c r="D50" s="88" t="s">
        <v>69</v>
      </c>
      <c r="E50" s="88" t="s">
        <v>103</v>
      </c>
      <c r="F50" s="9" t="s">
        <v>133</v>
      </c>
      <c r="G50" s="9"/>
      <c r="H50" s="9"/>
      <c r="I50" s="88" t="s">
        <v>103</v>
      </c>
      <c r="J50" s="1062"/>
      <c r="K50" s="1062"/>
      <c r="L50" s="1062"/>
      <c r="M50" s="1062"/>
      <c r="N50" s="1936"/>
      <c r="O50" s="1937"/>
      <c r="P50" s="1937"/>
      <c r="Q50" s="1937"/>
      <c r="R50" s="1937"/>
      <c r="V50" s="1936"/>
      <c r="W50" s="1936"/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39.5" hidden="1" thickBot="1" x14ac:dyDescent="0.3">
      <c r="A51" s="1"/>
      <c r="B51" s="222" t="s">
        <v>421</v>
      </c>
      <c r="C51" s="88"/>
      <c r="D51" s="88" t="s">
        <v>69</v>
      </c>
      <c r="E51" s="88" t="s">
        <v>103</v>
      </c>
      <c r="F51" s="34" t="s">
        <v>420</v>
      </c>
      <c r="G51" s="9"/>
      <c r="H51" s="9"/>
      <c r="I51" s="88" t="s">
        <v>103</v>
      </c>
      <c r="J51" s="1058">
        <f>J52+J53</f>
        <v>546.70000000000005</v>
      </c>
      <c r="K51" s="1058"/>
      <c r="L51" s="1058">
        <f t="shared" ref="L51:R51" si="22">L52+L53</f>
        <v>546.70000000000005</v>
      </c>
      <c r="M51" s="1058">
        <f t="shared" si="22"/>
        <v>546.70000000000005</v>
      </c>
      <c r="N51" s="1933">
        <f t="shared" si="22"/>
        <v>546.70000000000005</v>
      </c>
      <c r="O51" s="1934">
        <f t="shared" si="22"/>
        <v>546.70000000000005</v>
      </c>
      <c r="P51" s="1934">
        <f t="shared" si="22"/>
        <v>546.70000000000005</v>
      </c>
      <c r="Q51" s="1934">
        <f t="shared" si="22"/>
        <v>546.70000000000005</v>
      </c>
      <c r="R51" s="1934">
        <f t="shared" si="22"/>
        <v>546.70000000000005</v>
      </c>
      <c r="V51" s="1933">
        <f t="shared" ref="V51:W51" si="23">V52+V53</f>
        <v>546.70000000000005</v>
      </c>
      <c r="W51" s="1933">
        <f t="shared" si="23"/>
        <v>546.70000000000005</v>
      </c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13.5" hidden="1" thickBot="1" x14ac:dyDescent="0.35">
      <c r="A52" s="1"/>
      <c r="B52" s="744" t="s">
        <v>410</v>
      </c>
      <c r="C52" s="88"/>
      <c r="D52" s="88" t="s">
        <v>69</v>
      </c>
      <c r="E52" s="88" t="s">
        <v>103</v>
      </c>
      <c r="F52" s="9" t="s">
        <v>420</v>
      </c>
      <c r="G52" s="9" t="s">
        <v>5</v>
      </c>
      <c r="H52" s="9"/>
      <c r="I52" s="88" t="s">
        <v>103</v>
      </c>
      <c r="J52" s="1062">
        <f>546.7-45.2</f>
        <v>501.50000000000006</v>
      </c>
      <c r="K52" s="1062"/>
      <c r="L52" s="1062">
        <f t="shared" ref="L52:R52" si="24">546.7-45.2</f>
        <v>501.50000000000006</v>
      </c>
      <c r="M52" s="1062">
        <f t="shared" si="24"/>
        <v>501.50000000000006</v>
      </c>
      <c r="N52" s="1936">
        <f t="shared" si="24"/>
        <v>501.50000000000006</v>
      </c>
      <c r="O52" s="1937">
        <f t="shared" si="24"/>
        <v>501.50000000000006</v>
      </c>
      <c r="P52" s="1937">
        <f t="shared" si="24"/>
        <v>501.50000000000006</v>
      </c>
      <c r="Q52" s="1937">
        <f t="shared" si="24"/>
        <v>501.50000000000006</v>
      </c>
      <c r="R52" s="1937">
        <f t="shared" si="24"/>
        <v>501.50000000000006</v>
      </c>
      <c r="V52" s="1936">
        <f t="shared" ref="V52:W52" si="25">546.7-45.2</f>
        <v>501.50000000000006</v>
      </c>
      <c r="W52" s="1936">
        <f t="shared" si="25"/>
        <v>501.50000000000006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35">
      <c r="A53" s="1"/>
      <c r="B53" s="1935" t="s">
        <v>16</v>
      </c>
      <c r="C53" s="88"/>
      <c r="D53" s="88"/>
      <c r="E53" s="88"/>
      <c r="F53" s="9"/>
      <c r="G53" s="9" t="s">
        <v>1</v>
      </c>
      <c r="H53" s="9"/>
      <c r="I53" s="88"/>
      <c r="J53" s="1062">
        <v>45.2</v>
      </c>
      <c r="K53" s="1062"/>
      <c r="L53" s="1062">
        <v>45.2</v>
      </c>
      <c r="M53" s="1062">
        <v>45.2</v>
      </c>
      <c r="N53" s="1936">
        <v>45.2</v>
      </c>
      <c r="O53" s="1937">
        <v>45.2</v>
      </c>
      <c r="P53" s="1937">
        <v>45.2</v>
      </c>
      <c r="Q53" s="1937">
        <v>45.2</v>
      </c>
      <c r="R53" s="1937">
        <v>45.2</v>
      </c>
      <c r="V53" s="1936">
        <v>45.2</v>
      </c>
      <c r="W53" s="1936">
        <v>45.2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42" hidden="1" customHeight="1" x14ac:dyDescent="0.25">
      <c r="A54" s="1"/>
      <c r="B54" s="52" t="s">
        <v>122</v>
      </c>
      <c r="C54" s="9"/>
      <c r="D54" s="94" t="s">
        <v>69</v>
      </c>
      <c r="E54" s="34" t="s">
        <v>119</v>
      </c>
      <c r="F54" s="94" t="s">
        <v>71</v>
      </c>
      <c r="G54" s="94" t="s">
        <v>71</v>
      </c>
      <c r="H54" s="94"/>
      <c r="I54" s="34" t="s">
        <v>119</v>
      </c>
      <c r="J54" s="1065">
        <f>J55</f>
        <v>99.305000000000007</v>
      </c>
      <c r="K54" s="1065"/>
      <c r="L54" s="1065">
        <f t="shared" ref="L54:R56" si="26">L55</f>
        <v>99.305000000000007</v>
      </c>
      <c r="M54" s="1065">
        <f t="shared" si="26"/>
        <v>99.305000000000007</v>
      </c>
      <c r="N54" s="1938">
        <f t="shared" si="26"/>
        <v>99.305000000000007</v>
      </c>
      <c r="O54" s="1939">
        <f t="shared" si="26"/>
        <v>99.305000000000007</v>
      </c>
      <c r="P54" s="1939">
        <f t="shared" si="26"/>
        <v>99.305000000000007</v>
      </c>
      <c r="Q54" s="1939">
        <f t="shared" si="26"/>
        <v>99.305000000000007</v>
      </c>
      <c r="R54" s="1939">
        <f t="shared" si="26"/>
        <v>99.305000000000007</v>
      </c>
      <c r="V54" s="1938">
        <f t="shared" ref="V54:W56" si="27">V55</f>
        <v>99.305000000000007</v>
      </c>
      <c r="W54" s="1938">
        <f t="shared" si="27"/>
        <v>99.305000000000007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ht="39.5" hidden="1" thickBot="1" x14ac:dyDescent="0.3">
      <c r="B55" s="52" t="s">
        <v>126</v>
      </c>
      <c r="C55" s="9"/>
      <c r="D55" s="94" t="s">
        <v>69</v>
      </c>
      <c r="E55" s="94" t="s">
        <v>119</v>
      </c>
      <c r="F55" s="34" t="s">
        <v>125</v>
      </c>
      <c r="G55" s="79"/>
      <c r="H55" s="79"/>
      <c r="I55" s="94" t="s">
        <v>119</v>
      </c>
      <c r="J55" s="1065">
        <f>J56</f>
        <v>99.305000000000007</v>
      </c>
      <c r="K55" s="1065"/>
      <c r="L55" s="1065">
        <f t="shared" si="26"/>
        <v>99.305000000000007</v>
      </c>
      <c r="M55" s="1065">
        <f t="shared" si="26"/>
        <v>99.305000000000007</v>
      </c>
      <c r="N55" s="1938">
        <f t="shared" si="26"/>
        <v>99.305000000000007</v>
      </c>
      <c r="O55" s="1939">
        <f t="shared" si="26"/>
        <v>99.305000000000007</v>
      </c>
      <c r="P55" s="1939">
        <f t="shared" si="26"/>
        <v>99.305000000000007</v>
      </c>
      <c r="Q55" s="1939">
        <f t="shared" si="26"/>
        <v>99.305000000000007</v>
      </c>
      <c r="R55" s="1939">
        <f t="shared" si="26"/>
        <v>99.305000000000007</v>
      </c>
      <c r="V55" s="1938">
        <f t="shared" si="27"/>
        <v>99.305000000000007</v>
      </c>
      <c r="W55" s="1938">
        <f t="shared" si="27"/>
        <v>99.305000000000007</v>
      </c>
    </row>
    <row r="56" spans="1:256" ht="45.75" hidden="1" customHeight="1" x14ac:dyDescent="0.25">
      <c r="B56" s="218" t="s">
        <v>131</v>
      </c>
      <c r="C56" s="9"/>
      <c r="D56" s="88" t="s">
        <v>69</v>
      </c>
      <c r="E56" s="88" t="s">
        <v>119</v>
      </c>
      <c r="F56" s="9" t="s">
        <v>121</v>
      </c>
      <c r="G56" s="9"/>
      <c r="H56" s="9"/>
      <c r="I56" s="88" t="s">
        <v>119</v>
      </c>
      <c r="J56" s="1062">
        <f>J57</f>
        <v>99.305000000000007</v>
      </c>
      <c r="K56" s="1062"/>
      <c r="L56" s="1062">
        <f t="shared" si="26"/>
        <v>99.305000000000007</v>
      </c>
      <c r="M56" s="1062">
        <f t="shared" si="26"/>
        <v>99.305000000000007</v>
      </c>
      <c r="N56" s="1936">
        <f t="shared" si="26"/>
        <v>99.305000000000007</v>
      </c>
      <c r="O56" s="1937">
        <f t="shared" si="26"/>
        <v>99.305000000000007</v>
      </c>
      <c r="P56" s="1937">
        <f t="shared" si="26"/>
        <v>99.305000000000007</v>
      </c>
      <c r="Q56" s="1937">
        <f t="shared" si="26"/>
        <v>99.305000000000007</v>
      </c>
      <c r="R56" s="1937">
        <f t="shared" si="26"/>
        <v>99.305000000000007</v>
      </c>
      <c r="V56" s="1936">
        <f t="shared" si="27"/>
        <v>99.305000000000007</v>
      </c>
      <c r="W56" s="1936">
        <f t="shared" si="27"/>
        <v>99.305000000000007</v>
      </c>
    </row>
    <row r="57" spans="1:256" ht="13.9" hidden="1" customHeight="1" x14ac:dyDescent="0.3">
      <c r="B57" s="1935" t="s">
        <v>123</v>
      </c>
      <c r="C57" s="9"/>
      <c r="D57" s="88" t="s">
        <v>69</v>
      </c>
      <c r="E57" s="88" t="s">
        <v>119</v>
      </c>
      <c r="F57" s="9" t="s">
        <v>121</v>
      </c>
      <c r="G57" s="9" t="s">
        <v>120</v>
      </c>
      <c r="H57" s="9"/>
      <c r="I57" s="88" t="s">
        <v>119</v>
      </c>
      <c r="J57" s="1062">
        <v>99.305000000000007</v>
      </c>
      <c r="K57" s="1062"/>
      <c r="L57" s="1062">
        <v>99.305000000000007</v>
      </c>
      <c r="M57" s="1062">
        <v>99.305000000000007</v>
      </c>
      <c r="N57" s="1936">
        <v>99.305000000000007</v>
      </c>
      <c r="O57" s="1937">
        <v>99.305000000000007</v>
      </c>
      <c r="P57" s="1937">
        <v>99.305000000000007</v>
      </c>
      <c r="Q57" s="1937">
        <v>99.305000000000007</v>
      </c>
      <c r="R57" s="1937">
        <v>99.305000000000007</v>
      </c>
      <c r="V57" s="1936">
        <v>99.305000000000007</v>
      </c>
      <c r="W57" s="1936">
        <v>99.305000000000007</v>
      </c>
    </row>
    <row r="58" spans="1:256" ht="14.5" hidden="1" thickBot="1" x14ac:dyDescent="0.3">
      <c r="B58" s="221" t="s">
        <v>419</v>
      </c>
      <c r="C58" s="200"/>
      <c r="D58" s="220" t="s">
        <v>69</v>
      </c>
      <c r="E58" s="202" t="s">
        <v>416</v>
      </c>
      <c r="F58" s="9"/>
      <c r="G58" s="9"/>
      <c r="H58" s="9"/>
      <c r="I58" s="202" t="s">
        <v>416</v>
      </c>
      <c r="J58" s="1062"/>
      <c r="K58" s="1062"/>
      <c r="L58" s="1062"/>
      <c r="M58" s="1062"/>
      <c r="N58" s="1936"/>
      <c r="O58" s="1937"/>
      <c r="P58" s="1937"/>
      <c r="Q58" s="1937"/>
      <c r="R58" s="1937"/>
      <c r="V58" s="1936"/>
      <c r="W58" s="1936"/>
    </row>
    <row r="59" spans="1:256" ht="39.5" hidden="1" thickBot="1" x14ac:dyDescent="0.3">
      <c r="B59" s="52" t="s">
        <v>25</v>
      </c>
      <c r="C59" s="9"/>
      <c r="D59" s="94" t="s">
        <v>69</v>
      </c>
      <c r="E59" s="34" t="s">
        <v>416</v>
      </c>
      <c r="F59" s="34" t="s">
        <v>24</v>
      </c>
      <c r="G59" s="9"/>
      <c r="H59" s="9"/>
      <c r="I59" s="34" t="s">
        <v>416</v>
      </c>
      <c r="J59" s="1062"/>
      <c r="K59" s="1062"/>
      <c r="L59" s="1062"/>
      <c r="M59" s="1062"/>
      <c r="N59" s="1936"/>
      <c r="O59" s="1937"/>
      <c r="P59" s="1937"/>
      <c r="Q59" s="1937"/>
      <c r="R59" s="1937"/>
      <c r="V59" s="1936"/>
      <c r="W59" s="1936"/>
    </row>
    <row r="60" spans="1:256" ht="14.5" hidden="1" thickBot="1" x14ac:dyDescent="0.3">
      <c r="B60" s="219" t="s">
        <v>418</v>
      </c>
      <c r="C60" s="200"/>
      <c r="D60" s="88" t="s">
        <v>69</v>
      </c>
      <c r="E60" s="9" t="s">
        <v>416</v>
      </c>
      <c r="F60" s="9" t="s">
        <v>417</v>
      </c>
      <c r="G60" s="9"/>
      <c r="H60" s="9"/>
      <c r="I60" s="9" t="s">
        <v>416</v>
      </c>
      <c r="J60" s="1062"/>
      <c r="K60" s="1062"/>
      <c r="L60" s="1062"/>
      <c r="M60" s="1062"/>
      <c r="N60" s="1936"/>
      <c r="O60" s="1937"/>
      <c r="P60" s="1937"/>
      <c r="Q60" s="1937"/>
      <c r="R60" s="1937"/>
      <c r="V60" s="1936"/>
      <c r="W60" s="1936"/>
    </row>
    <row r="61" spans="1:256" ht="13.5" hidden="1" thickBot="1" x14ac:dyDescent="0.3">
      <c r="B61" s="52" t="s">
        <v>68</v>
      </c>
      <c r="C61" s="9"/>
      <c r="D61" s="94" t="s">
        <v>69</v>
      </c>
      <c r="E61" s="34" t="s">
        <v>66</v>
      </c>
      <c r="F61" s="94" t="s">
        <v>71</v>
      </c>
      <c r="G61" s="94" t="s">
        <v>71</v>
      </c>
      <c r="H61" s="94"/>
      <c r="I61" s="34" t="s">
        <v>66</v>
      </c>
      <c r="J61" s="1064">
        <f>J62</f>
        <v>2000</v>
      </c>
      <c r="K61" s="1064"/>
      <c r="L61" s="1064">
        <f t="shared" ref="L61:R63" si="28">L62</f>
        <v>2000</v>
      </c>
      <c r="M61" s="1064">
        <f t="shared" si="28"/>
        <v>2000</v>
      </c>
      <c r="N61" s="1938">
        <f t="shared" si="28"/>
        <v>2000</v>
      </c>
      <c r="O61" s="1939">
        <f t="shared" si="28"/>
        <v>2000</v>
      </c>
      <c r="P61" s="1939">
        <f t="shared" si="28"/>
        <v>2000</v>
      </c>
      <c r="Q61" s="1939">
        <f t="shared" si="28"/>
        <v>2000</v>
      </c>
      <c r="R61" s="1939">
        <f t="shared" si="28"/>
        <v>2000</v>
      </c>
      <c r="V61" s="1938">
        <f t="shared" ref="V61:W63" si="29">V62</f>
        <v>2000</v>
      </c>
      <c r="W61" s="1938">
        <f t="shared" si="29"/>
        <v>2000</v>
      </c>
    </row>
    <row r="62" spans="1:256" s="83" customFormat="1" ht="39.5" hidden="1" thickBot="1" x14ac:dyDescent="0.35">
      <c r="B62" s="52" t="s">
        <v>25</v>
      </c>
      <c r="C62" s="9"/>
      <c r="D62" s="94" t="s">
        <v>69</v>
      </c>
      <c r="E62" s="34" t="s">
        <v>66</v>
      </c>
      <c r="F62" s="94">
        <v>9900000</v>
      </c>
      <c r="G62" s="94"/>
      <c r="H62" s="94"/>
      <c r="I62" s="34" t="s">
        <v>66</v>
      </c>
      <c r="J62" s="1061">
        <f>J63</f>
        <v>2000</v>
      </c>
      <c r="K62" s="1061"/>
      <c r="L62" s="1061">
        <f t="shared" si="28"/>
        <v>2000</v>
      </c>
      <c r="M62" s="1061">
        <f t="shared" si="28"/>
        <v>2000</v>
      </c>
      <c r="N62" s="1940">
        <f t="shared" si="28"/>
        <v>2000</v>
      </c>
      <c r="O62" s="1941">
        <f t="shared" si="28"/>
        <v>2000</v>
      </c>
      <c r="P62" s="1941">
        <f t="shared" si="28"/>
        <v>2000</v>
      </c>
      <c r="Q62" s="1941">
        <f t="shared" si="28"/>
        <v>2000</v>
      </c>
      <c r="R62" s="1941">
        <f t="shared" si="28"/>
        <v>2000</v>
      </c>
      <c r="S62" s="84"/>
      <c r="T62" s="84"/>
      <c r="U62" s="84"/>
      <c r="V62" s="1940">
        <f t="shared" si="29"/>
        <v>2000</v>
      </c>
      <c r="W62" s="1940">
        <f t="shared" si="29"/>
        <v>2000</v>
      </c>
      <c r="X62" s="84"/>
      <c r="Z62" s="2141"/>
    </row>
    <row r="63" spans="1:256" ht="26.5" hidden="1" thickBot="1" x14ac:dyDescent="0.3">
      <c r="B63" s="49" t="s">
        <v>72</v>
      </c>
      <c r="C63" s="9"/>
      <c r="D63" s="88" t="s">
        <v>69</v>
      </c>
      <c r="E63" s="9" t="s">
        <v>66</v>
      </c>
      <c r="F63" s="9" t="s">
        <v>415</v>
      </c>
      <c r="G63" s="88" t="s">
        <v>71</v>
      </c>
      <c r="H63" s="88"/>
      <c r="I63" s="9" t="s">
        <v>66</v>
      </c>
      <c r="J63" s="1061">
        <f>J64</f>
        <v>2000</v>
      </c>
      <c r="K63" s="1061"/>
      <c r="L63" s="1061">
        <f t="shared" si="28"/>
        <v>2000</v>
      </c>
      <c r="M63" s="1061">
        <f t="shared" si="28"/>
        <v>2000</v>
      </c>
      <c r="N63" s="1940">
        <f t="shared" si="28"/>
        <v>2000</v>
      </c>
      <c r="O63" s="1941">
        <f t="shared" si="28"/>
        <v>2000</v>
      </c>
      <c r="P63" s="1941">
        <f t="shared" si="28"/>
        <v>2000</v>
      </c>
      <c r="Q63" s="1941">
        <f t="shared" si="28"/>
        <v>2000</v>
      </c>
      <c r="R63" s="1941">
        <f t="shared" si="28"/>
        <v>2000</v>
      </c>
      <c r="V63" s="1940">
        <f t="shared" si="29"/>
        <v>2000</v>
      </c>
      <c r="W63" s="1940">
        <f t="shared" si="29"/>
        <v>2000</v>
      </c>
    </row>
    <row r="64" spans="1:256" ht="13.5" hidden="1" thickBot="1" x14ac:dyDescent="0.35">
      <c r="B64" s="1935" t="s">
        <v>70</v>
      </c>
      <c r="C64" s="9"/>
      <c r="D64" s="88" t="s">
        <v>69</v>
      </c>
      <c r="E64" s="9" t="s">
        <v>66</v>
      </c>
      <c r="F64" s="9" t="s">
        <v>415</v>
      </c>
      <c r="G64" s="88">
        <v>870</v>
      </c>
      <c r="H64" s="88"/>
      <c r="I64" s="9" t="s">
        <v>66</v>
      </c>
      <c r="J64" s="1061">
        <v>2000</v>
      </c>
      <c r="K64" s="1061"/>
      <c r="L64" s="1061">
        <v>2000</v>
      </c>
      <c r="M64" s="1061">
        <v>2000</v>
      </c>
      <c r="N64" s="1940">
        <v>2000</v>
      </c>
      <c r="O64" s="1941">
        <v>2000</v>
      </c>
      <c r="P64" s="1941">
        <v>2000</v>
      </c>
      <c r="Q64" s="1941">
        <v>2000</v>
      </c>
      <c r="R64" s="1941">
        <v>2000</v>
      </c>
      <c r="V64" s="1940">
        <v>2000</v>
      </c>
      <c r="W64" s="1940">
        <v>2000</v>
      </c>
    </row>
    <row r="65" spans="1:256" s="2" customFormat="1" ht="13.5" hidden="1" thickBot="1" x14ac:dyDescent="0.3">
      <c r="A65" s="1"/>
      <c r="B65" s="52" t="s">
        <v>93</v>
      </c>
      <c r="C65" s="88"/>
      <c r="D65" s="94" t="s">
        <v>69</v>
      </c>
      <c r="E65" s="34" t="s">
        <v>90</v>
      </c>
      <c r="F65" s="34"/>
      <c r="G65" s="94"/>
      <c r="H65" s="94"/>
      <c r="I65" s="34" t="s">
        <v>90</v>
      </c>
      <c r="J65" s="1058">
        <f>J66</f>
        <v>108</v>
      </c>
      <c r="K65" s="1058"/>
      <c r="L65" s="1058">
        <f t="shared" ref="L65:R66" si="30">L66</f>
        <v>108</v>
      </c>
      <c r="M65" s="1058">
        <f t="shared" si="30"/>
        <v>108</v>
      </c>
      <c r="N65" s="1933">
        <f t="shared" si="30"/>
        <v>108</v>
      </c>
      <c r="O65" s="1934">
        <f t="shared" si="30"/>
        <v>108</v>
      </c>
      <c r="P65" s="1934">
        <f t="shared" si="30"/>
        <v>108</v>
      </c>
      <c r="Q65" s="1934">
        <f t="shared" si="30"/>
        <v>108</v>
      </c>
      <c r="R65" s="1934">
        <f t="shared" si="30"/>
        <v>108</v>
      </c>
      <c r="V65" s="1933">
        <f t="shared" ref="V65:W66" si="31">V66</f>
        <v>108</v>
      </c>
      <c r="W65" s="1933">
        <f t="shared" si="31"/>
        <v>108</v>
      </c>
      <c r="Y65" s="1"/>
      <c r="Z65" s="23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52" t="s">
        <v>102</v>
      </c>
      <c r="C66" s="34"/>
      <c r="D66" s="34" t="s">
        <v>69</v>
      </c>
      <c r="E66" s="34" t="s">
        <v>90</v>
      </c>
      <c r="F66" s="34" t="s">
        <v>414</v>
      </c>
      <c r="G66" s="34"/>
      <c r="H66" s="34"/>
      <c r="I66" s="34" t="s">
        <v>90</v>
      </c>
      <c r="J66" s="1065">
        <f>J67</f>
        <v>108</v>
      </c>
      <c r="K66" s="1065"/>
      <c r="L66" s="1065">
        <f t="shared" si="30"/>
        <v>108</v>
      </c>
      <c r="M66" s="1065">
        <f t="shared" si="30"/>
        <v>108</v>
      </c>
      <c r="N66" s="1938">
        <f t="shared" si="30"/>
        <v>108</v>
      </c>
      <c r="O66" s="1939">
        <f t="shared" si="30"/>
        <v>108</v>
      </c>
      <c r="P66" s="1939">
        <f t="shared" si="30"/>
        <v>108</v>
      </c>
      <c r="Q66" s="1939">
        <f t="shared" si="30"/>
        <v>108</v>
      </c>
      <c r="R66" s="1939">
        <f t="shared" si="30"/>
        <v>108</v>
      </c>
      <c r="V66" s="1938">
        <f t="shared" si="31"/>
        <v>108</v>
      </c>
      <c r="W66" s="1938">
        <f t="shared" si="31"/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">
      <c r="A67" s="1"/>
      <c r="B67" s="76" t="s">
        <v>413</v>
      </c>
      <c r="C67" s="34"/>
      <c r="D67" s="9" t="s">
        <v>69</v>
      </c>
      <c r="E67" s="9" t="s">
        <v>90</v>
      </c>
      <c r="F67" s="9" t="s">
        <v>96</v>
      </c>
      <c r="G67" s="34"/>
      <c r="H67" s="34"/>
      <c r="I67" s="9" t="s">
        <v>90</v>
      </c>
      <c r="J67" s="1063">
        <f>J68+J69</f>
        <v>108</v>
      </c>
      <c r="K67" s="1063"/>
      <c r="L67" s="1063">
        <f t="shared" ref="L67:R67" si="32">L68+L69</f>
        <v>108</v>
      </c>
      <c r="M67" s="1063">
        <f t="shared" si="32"/>
        <v>108</v>
      </c>
      <c r="N67" s="1940">
        <f t="shared" si="32"/>
        <v>108</v>
      </c>
      <c r="O67" s="1941">
        <f t="shared" si="32"/>
        <v>108</v>
      </c>
      <c r="P67" s="1941">
        <f t="shared" si="32"/>
        <v>108</v>
      </c>
      <c r="Q67" s="1941">
        <f t="shared" si="32"/>
        <v>108</v>
      </c>
      <c r="R67" s="1941">
        <f t="shared" si="32"/>
        <v>108</v>
      </c>
      <c r="V67" s="1940">
        <f t="shared" ref="V67:W67" si="33">V68+V69</f>
        <v>108</v>
      </c>
      <c r="W67" s="1940">
        <f t="shared" si="33"/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34"/>
      <c r="D68" s="9" t="s">
        <v>69</v>
      </c>
      <c r="E68" s="9" t="s">
        <v>90</v>
      </c>
      <c r="F68" s="9" t="s">
        <v>96</v>
      </c>
      <c r="G68" s="9" t="s">
        <v>1</v>
      </c>
      <c r="H68" s="9"/>
      <c r="I68" s="9" t="s">
        <v>90</v>
      </c>
      <c r="J68" s="1063">
        <v>105</v>
      </c>
      <c r="K68" s="1063"/>
      <c r="L68" s="1063">
        <v>105</v>
      </c>
      <c r="M68" s="1063">
        <v>105</v>
      </c>
      <c r="N68" s="1940">
        <v>105</v>
      </c>
      <c r="O68" s="1941">
        <v>105</v>
      </c>
      <c r="P68" s="1941">
        <v>105</v>
      </c>
      <c r="Q68" s="1941">
        <v>105</v>
      </c>
      <c r="R68" s="1941">
        <v>105</v>
      </c>
      <c r="V68" s="1940">
        <v>105</v>
      </c>
      <c r="W68" s="1940">
        <v>105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35">
      <c r="A69" s="1"/>
      <c r="B69" s="1935" t="s">
        <v>94</v>
      </c>
      <c r="C69" s="34"/>
      <c r="D69" s="9" t="s">
        <v>69</v>
      </c>
      <c r="E69" s="9" t="s">
        <v>90</v>
      </c>
      <c r="F69" s="9" t="s">
        <v>96</v>
      </c>
      <c r="G69" s="9" t="s">
        <v>91</v>
      </c>
      <c r="H69" s="9"/>
      <c r="I69" s="9" t="s">
        <v>90</v>
      </c>
      <c r="J69" s="1063">
        <v>3</v>
      </c>
      <c r="K69" s="1063"/>
      <c r="L69" s="1063">
        <v>3</v>
      </c>
      <c r="M69" s="1063">
        <v>3</v>
      </c>
      <c r="N69" s="1940">
        <v>3</v>
      </c>
      <c r="O69" s="1941">
        <v>3</v>
      </c>
      <c r="P69" s="1941">
        <v>3</v>
      </c>
      <c r="Q69" s="1941">
        <v>3</v>
      </c>
      <c r="R69" s="1941">
        <v>3</v>
      </c>
      <c r="V69" s="1940">
        <v>3</v>
      </c>
      <c r="W69" s="1940">
        <v>3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4.5" hidden="1" thickBot="1" x14ac:dyDescent="0.3">
      <c r="A70" s="1"/>
      <c r="B70" s="213" t="s">
        <v>412</v>
      </c>
      <c r="C70" s="202"/>
      <c r="D70" s="202" t="s">
        <v>409</v>
      </c>
      <c r="E70" s="202"/>
      <c r="F70" s="202"/>
      <c r="G70" s="202"/>
      <c r="H70" s="202"/>
      <c r="I70" s="202"/>
      <c r="J70" s="1067">
        <f>J71</f>
        <v>605.88300000000004</v>
      </c>
      <c r="K70" s="1067"/>
      <c r="L70" s="1067">
        <f t="shared" ref="L70:R71" si="34">L71</f>
        <v>605.88300000000004</v>
      </c>
      <c r="M70" s="1067">
        <f t="shared" si="34"/>
        <v>605.88300000000004</v>
      </c>
      <c r="N70" s="1942">
        <f t="shared" si="34"/>
        <v>605.88300000000004</v>
      </c>
      <c r="O70" s="1943">
        <f t="shared" si="34"/>
        <v>605.88300000000004</v>
      </c>
      <c r="P70" s="1943">
        <f t="shared" si="34"/>
        <v>605.88300000000004</v>
      </c>
      <c r="Q70" s="1943">
        <f t="shared" si="34"/>
        <v>605.88300000000004</v>
      </c>
      <c r="R70" s="1943">
        <f t="shared" si="34"/>
        <v>605.88300000000004</v>
      </c>
      <c r="V70" s="1942">
        <f t="shared" ref="V70:W71" si="35">V71</f>
        <v>605.88300000000004</v>
      </c>
      <c r="W70" s="1942">
        <f t="shared" si="35"/>
        <v>605.88300000000004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3.5" hidden="1" thickBot="1" x14ac:dyDescent="0.3">
      <c r="A71" s="1"/>
      <c r="B71" s="52" t="s">
        <v>6</v>
      </c>
      <c r="C71" s="34"/>
      <c r="D71" s="34" t="s">
        <v>409</v>
      </c>
      <c r="E71" s="34" t="s">
        <v>0</v>
      </c>
      <c r="F71" s="34"/>
      <c r="G71" s="34"/>
      <c r="H71" s="34"/>
      <c r="I71" s="34" t="s">
        <v>0</v>
      </c>
      <c r="J71" s="1063">
        <f>J72</f>
        <v>605.88300000000004</v>
      </c>
      <c r="K71" s="1063"/>
      <c r="L71" s="1063">
        <f t="shared" si="34"/>
        <v>605.88300000000004</v>
      </c>
      <c r="M71" s="1063">
        <f t="shared" si="34"/>
        <v>605.88300000000004</v>
      </c>
      <c r="N71" s="1940">
        <f t="shared" si="34"/>
        <v>605.88300000000004</v>
      </c>
      <c r="O71" s="1941">
        <f t="shared" si="34"/>
        <v>605.88300000000004</v>
      </c>
      <c r="P71" s="1941">
        <f t="shared" si="34"/>
        <v>605.88300000000004</v>
      </c>
      <c r="Q71" s="1941">
        <f t="shared" si="34"/>
        <v>605.88300000000004</v>
      </c>
      <c r="R71" s="1941">
        <f t="shared" si="34"/>
        <v>605.88300000000004</v>
      </c>
      <c r="V71" s="1940">
        <f t="shared" si="35"/>
        <v>605.88300000000004</v>
      </c>
      <c r="W71" s="1940">
        <f t="shared" si="35"/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26.5" hidden="1" thickBot="1" x14ac:dyDescent="0.3">
      <c r="A72" s="1"/>
      <c r="B72" s="218" t="s">
        <v>411</v>
      </c>
      <c r="C72" s="9"/>
      <c r="D72" s="9" t="s">
        <v>409</v>
      </c>
      <c r="E72" s="9" t="s">
        <v>0</v>
      </c>
      <c r="F72" s="10" t="s">
        <v>408</v>
      </c>
      <c r="G72" s="9"/>
      <c r="H72" s="9"/>
      <c r="I72" s="9" t="s">
        <v>0</v>
      </c>
      <c r="J72" s="1063">
        <f>J73+J74</f>
        <v>605.88300000000004</v>
      </c>
      <c r="K72" s="1063"/>
      <c r="L72" s="1063">
        <f t="shared" ref="L72:R72" si="36">L73+L74</f>
        <v>605.88300000000004</v>
      </c>
      <c r="M72" s="1063">
        <f t="shared" si="36"/>
        <v>605.88300000000004</v>
      </c>
      <c r="N72" s="1940">
        <f t="shared" si="36"/>
        <v>605.88300000000004</v>
      </c>
      <c r="O72" s="1941">
        <f t="shared" si="36"/>
        <v>605.88300000000004</v>
      </c>
      <c r="P72" s="1941">
        <f t="shared" si="36"/>
        <v>605.88300000000004</v>
      </c>
      <c r="Q72" s="1941">
        <f t="shared" si="36"/>
        <v>605.88300000000004</v>
      </c>
      <c r="R72" s="1941">
        <f t="shared" si="36"/>
        <v>605.88300000000004</v>
      </c>
      <c r="V72" s="1940">
        <f t="shared" ref="V72:W72" si="37">V73+V74</f>
        <v>605.88300000000004</v>
      </c>
      <c r="W72" s="1940">
        <f t="shared" si="37"/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13.5" hidden="1" thickBot="1" x14ac:dyDescent="0.35">
      <c r="A73" s="1"/>
      <c r="B73" s="744" t="s">
        <v>410</v>
      </c>
      <c r="C73" s="9"/>
      <c r="D73" s="9" t="s">
        <v>409</v>
      </c>
      <c r="E73" s="9" t="s">
        <v>0</v>
      </c>
      <c r="F73" s="10" t="s">
        <v>408</v>
      </c>
      <c r="G73" s="9" t="s">
        <v>5</v>
      </c>
      <c r="H73" s="9"/>
      <c r="I73" s="9" t="s">
        <v>0</v>
      </c>
      <c r="J73" s="1063">
        <v>555.32000000000005</v>
      </c>
      <c r="K73" s="1063"/>
      <c r="L73" s="1063">
        <v>555.32000000000005</v>
      </c>
      <c r="M73" s="1063">
        <v>555.32000000000005</v>
      </c>
      <c r="N73" s="1940">
        <v>555.32000000000005</v>
      </c>
      <c r="O73" s="1941">
        <v>555.32000000000005</v>
      </c>
      <c r="P73" s="1941">
        <v>555.32000000000005</v>
      </c>
      <c r="Q73" s="1941">
        <v>555.32000000000005</v>
      </c>
      <c r="R73" s="1941">
        <v>555.32000000000005</v>
      </c>
      <c r="V73" s="1940">
        <v>555.32000000000005</v>
      </c>
      <c r="W73" s="1940">
        <v>555.32000000000005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409</v>
      </c>
      <c r="E74" s="9" t="s">
        <v>0</v>
      </c>
      <c r="F74" s="10" t="s">
        <v>408</v>
      </c>
      <c r="G74" s="9" t="s">
        <v>1</v>
      </c>
      <c r="H74" s="9"/>
      <c r="I74" s="9" t="s">
        <v>0</v>
      </c>
      <c r="J74" s="1063">
        <v>50.563000000000002</v>
      </c>
      <c r="K74" s="1063"/>
      <c r="L74" s="1063">
        <v>50.563000000000002</v>
      </c>
      <c r="M74" s="1063">
        <v>50.563000000000002</v>
      </c>
      <c r="N74" s="1940">
        <v>50.563000000000002</v>
      </c>
      <c r="O74" s="1941">
        <v>50.563000000000002</v>
      </c>
      <c r="P74" s="1941">
        <v>50.563000000000002</v>
      </c>
      <c r="Q74" s="1941">
        <v>50.563000000000002</v>
      </c>
      <c r="R74" s="1941">
        <v>50.563000000000002</v>
      </c>
      <c r="V74" s="1940">
        <v>50.563000000000002</v>
      </c>
      <c r="W74" s="1940">
        <v>50.563000000000002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32.25" hidden="1" customHeight="1" x14ac:dyDescent="0.25">
      <c r="A75" s="1"/>
      <c r="B75" s="194" t="s">
        <v>407</v>
      </c>
      <c r="C75" s="193"/>
      <c r="D75" s="193" t="s">
        <v>168</v>
      </c>
      <c r="E75" s="193"/>
      <c r="F75" s="193"/>
      <c r="G75" s="193"/>
      <c r="H75" s="193"/>
      <c r="I75" s="193"/>
      <c r="J75" s="1068">
        <f>J76</f>
        <v>1397</v>
      </c>
      <c r="K75" s="1068"/>
      <c r="L75" s="1068">
        <f t="shared" ref="L75:R76" si="38">L76</f>
        <v>1182</v>
      </c>
      <c r="M75" s="1068">
        <f t="shared" si="38"/>
        <v>1022</v>
      </c>
      <c r="N75" s="1942">
        <f t="shared" si="38"/>
        <v>1397</v>
      </c>
      <c r="O75" s="1943">
        <f t="shared" si="38"/>
        <v>1397</v>
      </c>
      <c r="P75" s="1943">
        <f t="shared" si="38"/>
        <v>1397</v>
      </c>
      <c r="Q75" s="1943">
        <f t="shared" si="38"/>
        <v>1397</v>
      </c>
      <c r="R75" s="1943">
        <f t="shared" si="38"/>
        <v>1397</v>
      </c>
      <c r="V75" s="1942">
        <f t="shared" ref="V75:W76" si="39">V76</f>
        <v>1397</v>
      </c>
      <c r="W75" s="1942">
        <f t="shared" si="39"/>
        <v>1397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26.5" hidden="1" thickBot="1" x14ac:dyDescent="0.3">
      <c r="A76" s="1"/>
      <c r="B76" s="52" t="s">
        <v>221</v>
      </c>
      <c r="C76" s="9"/>
      <c r="D76" s="34" t="s">
        <v>168</v>
      </c>
      <c r="E76" s="34" t="s">
        <v>166</v>
      </c>
      <c r="F76" s="9"/>
      <c r="G76" s="9"/>
      <c r="H76" s="9"/>
      <c r="I76" s="34" t="s">
        <v>166</v>
      </c>
      <c r="J76" s="1061">
        <f>J77</f>
        <v>1397</v>
      </c>
      <c r="K76" s="1061"/>
      <c r="L76" s="1061">
        <f t="shared" si="38"/>
        <v>1182</v>
      </c>
      <c r="M76" s="1061">
        <f t="shared" si="38"/>
        <v>1022</v>
      </c>
      <c r="N76" s="1940">
        <f t="shared" si="38"/>
        <v>1397</v>
      </c>
      <c r="O76" s="1941">
        <f t="shared" si="38"/>
        <v>1397</v>
      </c>
      <c r="P76" s="1941">
        <f t="shared" si="38"/>
        <v>1397</v>
      </c>
      <c r="Q76" s="1941">
        <f t="shared" si="38"/>
        <v>1397</v>
      </c>
      <c r="R76" s="1941">
        <f t="shared" si="38"/>
        <v>1397</v>
      </c>
      <c r="V76" s="1940">
        <f t="shared" si="39"/>
        <v>1397</v>
      </c>
      <c r="W76" s="1940">
        <f t="shared" si="39"/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39.65" hidden="1" customHeight="1" x14ac:dyDescent="0.25">
      <c r="A77" s="1"/>
      <c r="B77" s="52" t="s">
        <v>406</v>
      </c>
      <c r="C77" s="34"/>
      <c r="D77" s="34" t="s">
        <v>168</v>
      </c>
      <c r="E77" s="34" t="s">
        <v>166</v>
      </c>
      <c r="F77" s="34" t="s">
        <v>405</v>
      </c>
      <c r="G77" s="131"/>
      <c r="H77" s="131"/>
      <c r="I77" s="34" t="s">
        <v>166</v>
      </c>
      <c r="J77" s="51">
        <f>J78+J83</f>
        <v>1397</v>
      </c>
      <c r="K77" s="51"/>
      <c r="L77" s="51">
        <f t="shared" ref="L77:R77" si="40">L78+L83</f>
        <v>1182</v>
      </c>
      <c r="M77" s="51">
        <f t="shared" si="40"/>
        <v>1022</v>
      </c>
      <c r="N77" s="1938">
        <f t="shared" si="40"/>
        <v>1397</v>
      </c>
      <c r="O77" s="1944">
        <f t="shared" si="40"/>
        <v>1397</v>
      </c>
      <c r="P77" s="1944">
        <f t="shared" si="40"/>
        <v>1397</v>
      </c>
      <c r="Q77" s="1945">
        <f t="shared" si="40"/>
        <v>1397</v>
      </c>
      <c r="R77" s="1945">
        <f t="shared" si="40"/>
        <v>1397</v>
      </c>
      <c r="V77" s="1938">
        <f t="shared" ref="V77:W77" si="41">V78+V83</f>
        <v>1397</v>
      </c>
      <c r="W77" s="1938">
        <f t="shared" si="41"/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91.5" hidden="1" thickBot="1" x14ac:dyDescent="0.3">
      <c r="A78" s="1"/>
      <c r="B78" s="157" t="s">
        <v>746</v>
      </c>
      <c r="C78" s="9"/>
      <c r="D78" s="9" t="s">
        <v>168</v>
      </c>
      <c r="E78" s="9" t="s">
        <v>166</v>
      </c>
      <c r="F78" s="34" t="s">
        <v>404</v>
      </c>
      <c r="G78" s="88"/>
      <c r="H78" s="88"/>
      <c r="I78" s="9" t="s">
        <v>166</v>
      </c>
      <c r="J78" s="1063">
        <f>J79+J81</f>
        <v>711</v>
      </c>
      <c r="K78" s="1063"/>
      <c r="L78" s="1063">
        <f t="shared" ref="L78:R78" si="42">L79+L81</f>
        <v>496</v>
      </c>
      <c r="M78" s="1063">
        <f t="shared" si="42"/>
        <v>336</v>
      </c>
      <c r="N78" s="1940">
        <f t="shared" si="42"/>
        <v>711</v>
      </c>
      <c r="O78" s="1941">
        <f t="shared" si="42"/>
        <v>711</v>
      </c>
      <c r="P78" s="1941">
        <f t="shared" si="42"/>
        <v>711</v>
      </c>
      <c r="Q78" s="1941">
        <f t="shared" si="42"/>
        <v>711</v>
      </c>
      <c r="R78" s="1941">
        <f t="shared" si="42"/>
        <v>711</v>
      </c>
      <c r="V78" s="1940">
        <f t="shared" ref="V78:W78" si="43">V79+V81</f>
        <v>711</v>
      </c>
      <c r="W78" s="1940">
        <f t="shared" si="43"/>
        <v>711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78.5" hidden="1" thickBot="1" x14ac:dyDescent="0.3">
      <c r="A79" s="1"/>
      <c r="B79" s="49" t="s">
        <v>747</v>
      </c>
      <c r="C79" s="9"/>
      <c r="D79" s="9" t="s">
        <v>168</v>
      </c>
      <c r="E79" s="9" t="s">
        <v>166</v>
      </c>
      <c r="F79" s="34" t="s">
        <v>400</v>
      </c>
      <c r="G79" s="88"/>
      <c r="H79" s="88"/>
      <c r="I79" s="9" t="s">
        <v>166</v>
      </c>
      <c r="J79" s="1063">
        <f>J80</f>
        <v>426</v>
      </c>
      <c r="K79" s="1063"/>
      <c r="L79" s="1063">
        <f t="shared" ref="L79:R79" si="44">L80</f>
        <v>296</v>
      </c>
      <c r="M79" s="1063">
        <f t="shared" si="44"/>
        <v>136</v>
      </c>
      <c r="N79" s="1940">
        <f t="shared" si="44"/>
        <v>426</v>
      </c>
      <c r="O79" s="1941">
        <f t="shared" si="44"/>
        <v>426</v>
      </c>
      <c r="P79" s="1941">
        <f t="shared" si="44"/>
        <v>426</v>
      </c>
      <c r="Q79" s="1941">
        <f t="shared" si="44"/>
        <v>426</v>
      </c>
      <c r="R79" s="1941">
        <f t="shared" si="44"/>
        <v>426</v>
      </c>
      <c r="V79" s="1940">
        <f t="shared" ref="V79:W79" si="45">V80</f>
        <v>426</v>
      </c>
      <c r="W79" s="1940">
        <f t="shared" si="45"/>
        <v>426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13.5" hidden="1" thickBot="1" x14ac:dyDescent="0.35">
      <c r="A80" s="1"/>
      <c r="B80" s="1935" t="s">
        <v>16</v>
      </c>
      <c r="C80" s="9"/>
      <c r="D80" s="9" t="s">
        <v>168</v>
      </c>
      <c r="E80" s="9" t="s">
        <v>166</v>
      </c>
      <c r="F80" s="9" t="s">
        <v>400</v>
      </c>
      <c r="G80" s="88">
        <v>240</v>
      </c>
      <c r="H80" s="88"/>
      <c r="I80" s="9" t="s">
        <v>166</v>
      </c>
      <c r="J80" s="1063">
        <v>426</v>
      </c>
      <c r="K80" s="1063"/>
      <c r="L80" s="1063">
        <v>296</v>
      </c>
      <c r="M80" s="1063">
        <v>136</v>
      </c>
      <c r="N80" s="1940">
        <v>426</v>
      </c>
      <c r="O80" s="1941">
        <v>426</v>
      </c>
      <c r="P80" s="1941">
        <v>426</v>
      </c>
      <c r="Q80" s="1941">
        <v>426</v>
      </c>
      <c r="R80" s="1941">
        <v>426</v>
      </c>
      <c r="V80" s="1940">
        <v>426</v>
      </c>
      <c r="W80" s="1940"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2:26" ht="65.5" hidden="1" thickBot="1" x14ac:dyDescent="0.3">
      <c r="B81" s="49" t="s">
        <v>748</v>
      </c>
      <c r="C81" s="9"/>
      <c r="D81" s="9" t="s">
        <v>168</v>
      </c>
      <c r="E81" s="9" t="s">
        <v>166</v>
      </c>
      <c r="F81" s="34" t="s">
        <v>401</v>
      </c>
      <c r="G81" s="88"/>
      <c r="H81" s="88"/>
      <c r="I81" s="9" t="s">
        <v>166</v>
      </c>
      <c r="J81" s="1063">
        <f>J82</f>
        <v>285</v>
      </c>
      <c r="K81" s="1063"/>
      <c r="L81" s="1063">
        <f t="shared" ref="L81:R81" si="46">L82</f>
        <v>200</v>
      </c>
      <c r="M81" s="1063">
        <f t="shared" si="46"/>
        <v>200</v>
      </c>
      <c r="N81" s="1940">
        <f t="shared" si="46"/>
        <v>285</v>
      </c>
      <c r="O81" s="1941">
        <f t="shared" si="46"/>
        <v>285</v>
      </c>
      <c r="P81" s="1941">
        <f t="shared" si="46"/>
        <v>285</v>
      </c>
      <c r="Q81" s="1941">
        <f t="shared" si="46"/>
        <v>285</v>
      </c>
      <c r="R81" s="1941">
        <f t="shared" si="46"/>
        <v>285</v>
      </c>
      <c r="V81" s="1940">
        <f t="shared" ref="V81:W81" si="47">V82</f>
        <v>285</v>
      </c>
      <c r="W81" s="1940">
        <f t="shared" si="47"/>
        <v>285</v>
      </c>
    </row>
    <row r="82" spans="2:26" ht="13.5" hidden="1" thickBot="1" x14ac:dyDescent="0.35">
      <c r="B82" s="1935" t="s">
        <v>16</v>
      </c>
      <c r="C82" s="9"/>
      <c r="D82" s="9" t="s">
        <v>168</v>
      </c>
      <c r="E82" s="9" t="s">
        <v>166</v>
      </c>
      <c r="F82" s="9" t="s">
        <v>400</v>
      </c>
      <c r="G82" s="88">
        <v>240</v>
      </c>
      <c r="H82" s="88"/>
      <c r="I82" s="9" t="s">
        <v>166</v>
      </c>
      <c r="J82" s="1063">
        <v>285</v>
      </c>
      <c r="K82" s="1063"/>
      <c r="L82" s="1063">
        <v>200</v>
      </c>
      <c r="M82" s="1063">
        <v>200</v>
      </c>
      <c r="N82" s="1940">
        <v>285</v>
      </c>
      <c r="O82" s="1941">
        <v>285</v>
      </c>
      <c r="P82" s="1941">
        <v>285</v>
      </c>
      <c r="Q82" s="1941">
        <v>285</v>
      </c>
      <c r="R82" s="1941">
        <v>285</v>
      </c>
      <c r="V82" s="1940">
        <v>285</v>
      </c>
      <c r="W82" s="1940">
        <v>285</v>
      </c>
    </row>
    <row r="83" spans="2:26" ht="78.5" hidden="1" thickBot="1" x14ac:dyDescent="0.3">
      <c r="B83" s="157" t="s">
        <v>749</v>
      </c>
      <c r="C83" s="34"/>
      <c r="D83" s="9" t="s">
        <v>168</v>
      </c>
      <c r="E83" s="9" t="s">
        <v>166</v>
      </c>
      <c r="F83" s="34" t="s">
        <v>399</v>
      </c>
      <c r="G83" s="34"/>
      <c r="H83" s="34"/>
      <c r="I83" s="9" t="s">
        <v>166</v>
      </c>
      <c r="J83" s="1065">
        <f>J84</f>
        <v>686</v>
      </c>
      <c r="K83" s="1065"/>
      <c r="L83" s="1065">
        <f t="shared" ref="L83:R83" si="48">L84</f>
        <v>686</v>
      </c>
      <c r="M83" s="1065">
        <f t="shared" si="48"/>
        <v>686</v>
      </c>
      <c r="N83" s="1938">
        <f t="shared" si="48"/>
        <v>686</v>
      </c>
      <c r="O83" s="1939">
        <f t="shared" si="48"/>
        <v>686</v>
      </c>
      <c r="P83" s="1939">
        <f t="shared" si="48"/>
        <v>686</v>
      </c>
      <c r="Q83" s="1939">
        <f t="shared" si="48"/>
        <v>686</v>
      </c>
      <c r="R83" s="1939">
        <f t="shared" si="48"/>
        <v>686</v>
      </c>
      <c r="V83" s="1938">
        <f t="shared" ref="V83:W83" si="49">V84</f>
        <v>686</v>
      </c>
      <c r="W83" s="1938">
        <f t="shared" si="49"/>
        <v>686</v>
      </c>
    </row>
    <row r="84" spans="2:26" ht="104.5" hidden="1" thickBot="1" x14ac:dyDescent="0.3">
      <c r="B84" s="49" t="s">
        <v>750</v>
      </c>
      <c r="C84" s="34"/>
      <c r="D84" s="9" t="s">
        <v>168</v>
      </c>
      <c r="E84" s="9" t="s">
        <v>166</v>
      </c>
      <c r="F84" s="9" t="s">
        <v>397</v>
      </c>
      <c r="G84" s="34"/>
      <c r="H84" s="34"/>
      <c r="I84" s="9" t="s">
        <v>166</v>
      </c>
      <c r="J84" s="1063">
        <f>J86</f>
        <v>686</v>
      </c>
      <c r="K84" s="1063"/>
      <c r="L84" s="1063">
        <f t="shared" ref="L84:R84" si="50">L86</f>
        <v>686</v>
      </c>
      <c r="M84" s="1063">
        <f t="shared" si="50"/>
        <v>686</v>
      </c>
      <c r="N84" s="1940">
        <f t="shared" si="50"/>
        <v>686</v>
      </c>
      <c r="O84" s="1941">
        <f t="shared" si="50"/>
        <v>686</v>
      </c>
      <c r="P84" s="1941">
        <f t="shared" si="50"/>
        <v>686</v>
      </c>
      <c r="Q84" s="1941">
        <f t="shared" si="50"/>
        <v>686</v>
      </c>
      <c r="R84" s="1941">
        <f t="shared" si="50"/>
        <v>686</v>
      </c>
      <c r="V84" s="1940">
        <f t="shared" ref="V84:W84" si="51">V86</f>
        <v>686</v>
      </c>
      <c r="W84" s="1940">
        <f t="shared" si="51"/>
        <v>686</v>
      </c>
    </row>
    <row r="85" spans="2:26" ht="40.5" hidden="1" customHeight="1" x14ac:dyDescent="0.25">
      <c r="B85" s="42" t="s">
        <v>223</v>
      </c>
      <c r="C85" s="160"/>
      <c r="D85" s="31" t="s">
        <v>168</v>
      </c>
      <c r="E85" s="31" t="s">
        <v>166</v>
      </c>
      <c r="F85" s="31" t="s">
        <v>222</v>
      </c>
      <c r="G85" s="161"/>
      <c r="H85" s="161"/>
      <c r="I85" s="31" t="s">
        <v>166</v>
      </c>
      <c r="J85" s="1069"/>
      <c r="K85" s="1069"/>
      <c r="L85" s="1069"/>
      <c r="M85" s="1069"/>
      <c r="N85" s="1946"/>
      <c r="O85" s="1947"/>
      <c r="P85" s="1947"/>
      <c r="Q85" s="1947"/>
      <c r="R85" s="1947"/>
      <c r="V85" s="1946"/>
      <c r="W85" s="1946"/>
    </row>
    <row r="86" spans="2:26" ht="17.5" hidden="1" customHeight="1" x14ac:dyDescent="0.3">
      <c r="B86" s="1935" t="s">
        <v>16</v>
      </c>
      <c r="C86" s="160"/>
      <c r="D86" s="9" t="s">
        <v>168</v>
      </c>
      <c r="E86" s="9" t="s">
        <v>166</v>
      </c>
      <c r="F86" s="9" t="s">
        <v>397</v>
      </c>
      <c r="G86" s="33" t="s">
        <v>1</v>
      </c>
      <c r="H86" s="33"/>
      <c r="I86" s="9" t="s">
        <v>166</v>
      </c>
      <c r="J86" s="1063">
        <v>686</v>
      </c>
      <c r="K86" s="1069"/>
      <c r="L86" s="1063">
        <v>686</v>
      </c>
      <c r="M86" s="1063">
        <v>686</v>
      </c>
      <c r="N86" s="1940">
        <v>686</v>
      </c>
      <c r="O86" s="1941">
        <v>686</v>
      </c>
      <c r="P86" s="1941">
        <v>686</v>
      </c>
      <c r="Q86" s="1941">
        <v>686</v>
      </c>
      <c r="R86" s="1941">
        <v>686</v>
      </c>
      <c r="V86" s="1940">
        <v>686</v>
      </c>
      <c r="W86" s="1940">
        <v>686</v>
      </c>
    </row>
    <row r="87" spans="2:26" ht="44.25" hidden="1" customHeight="1" x14ac:dyDescent="0.25">
      <c r="B87" s="52" t="s">
        <v>171</v>
      </c>
      <c r="C87" s="9"/>
      <c r="D87" s="34" t="s">
        <v>168</v>
      </c>
      <c r="E87" s="34" t="s">
        <v>166</v>
      </c>
      <c r="F87" s="34" t="s">
        <v>170</v>
      </c>
      <c r="G87" s="131"/>
      <c r="H87" s="131"/>
      <c r="I87" s="34" t="s">
        <v>166</v>
      </c>
      <c r="J87" s="131"/>
      <c r="K87" s="131"/>
      <c r="L87" s="1"/>
      <c r="M87" s="24"/>
      <c r="N87" s="1938"/>
      <c r="O87" s="1944"/>
      <c r="P87" s="1944"/>
      <c r="Q87" s="1945"/>
      <c r="R87" s="1945"/>
      <c r="V87" s="1938"/>
      <c r="W87" s="1938"/>
    </row>
    <row r="88" spans="2:26" ht="39.5" hidden="1" thickBot="1" x14ac:dyDescent="0.3">
      <c r="B88" s="49" t="s">
        <v>169</v>
      </c>
      <c r="C88" s="9"/>
      <c r="D88" s="9" t="s">
        <v>168</v>
      </c>
      <c r="E88" s="9" t="s">
        <v>166</v>
      </c>
      <c r="F88" s="9" t="s">
        <v>167</v>
      </c>
      <c r="G88" s="88"/>
      <c r="H88" s="88"/>
      <c r="I88" s="9" t="s">
        <v>166</v>
      </c>
      <c r="J88" s="1063"/>
      <c r="K88" s="1063"/>
      <c r="L88" s="1063"/>
      <c r="M88" s="1063"/>
      <c r="N88" s="1940"/>
      <c r="O88" s="1941"/>
      <c r="P88" s="1941"/>
      <c r="Q88" s="1941"/>
      <c r="R88" s="1941"/>
      <c r="V88" s="1940"/>
      <c r="W88" s="1940"/>
    </row>
    <row r="89" spans="2:26" s="83" customFormat="1" ht="14.5" hidden="1" thickBot="1" x14ac:dyDescent="0.35">
      <c r="B89" s="194" t="s">
        <v>396</v>
      </c>
      <c r="C89" s="193"/>
      <c r="D89" s="193" t="s">
        <v>52</v>
      </c>
      <c r="E89" s="193" t="s">
        <v>106</v>
      </c>
      <c r="F89" s="193" t="s">
        <v>106</v>
      </c>
      <c r="G89" s="193" t="s">
        <v>106</v>
      </c>
      <c r="H89" s="193"/>
      <c r="I89" s="193" t="s">
        <v>106</v>
      </c>
      <c r="J89" s="1070">
        <f>J90+J99</f>
        <v>18097.09</v>
      </c>
      <c r="K89" s="1071"/>
      <c r="L89" s="1070">
        <f t="shared" ref="L89:R89" si="52">L90+L99</f>
        <v>11814.485000000001</v>
      </c>
      <c r="M89" s="1070">
        <f t="shared" si="52"/>
        <v>14413.347</v>
      </c>
      <c r="N89" s="1948">
        <f t="shared" si="52"/>
        <v>18097.09</v>
      </c>
      <c r="O89" s="1949">
        <f t="shared" si="52"/>
        <v>18097.09</v>
      </c>
      <c r="P89" s="1949">
        <f t="shared" si="52"/>
        <v>18097.09</v>
      </c>
      <c r="Q89" s="1949">
        <f t="shared" si="52"/>
        <v>18097.09</v>
      </c>
      <c r="R89" s="1949">
        <f t="shared" si="52"/>
        <v>18097.09</v>
      </c>
      <c r="S89" s="84"/>
      <c r="T89" s="84"/>
      <c r="U89" s="84"/>
      <c r="V89" s="1948">
        <f t="shared" ref="V89:W89" si="53">V90+V99</f>
        <v>18097.09</v>
      </c>
      <c r="W89" s="1948">
        <f t="shared" si="53"/>
        <v>18097.09</v>
      </c>
      <c r="X89" s="84"/>
      <c r="Z89" s="2141"/>
    </row>
    <row r="90" spans="2:26" s="83" customFormat="1" ht="13.5" hidden="1" thickBot="1" x14ac:dyDescent="0.35">
      <c r="B90" s="126" t="s">
        <v>60</v>
      </c>
      <c r="C90" s="89"/>
      <c r="D90" s="89" t="s">
        <v>52</v>
      </c>
      <c r="E90" s="89" t="s">
        <v>58</v>
      </c>
      <c r="F90" s="89"/>
      <c r="G90" s="89"/>
      <c r="H90" s="89"/>
      <c r="I90" s="89" t="s">
        <v>58</v>
      </c>
      <c r="J90" s="1064">
        <f>J91</f>
        <v>17447.29</v>
      </c>
      <c r="K90" s="1063"/>
      <c r="L90" s="1064">
        <f t="shared" ref="L90:R90" si="54">L91</f>
        <v>11444.685000000001</v>
      </c>
      <c r="M90" s="1064">
        <f t="shared" si="54"/>
        <v>14038.547</v>
      </c>
      <c r="N90" s="1938">
        <f t="shared" si="54"/>
        <v>17447.29</v>
      </c>
      <c r="O90" s="1939">
        <f t="shared" si="54"/>
        <v>17447.29</v>
      </c>
      <c r="P90" s="1939">
        <f t="shared" si="54"/>
        <v>17447.29</v>
      </c>
      <c r="Q90" s="1939">
        <f t="shared" si="54"/>
        <v>17447.29</v>
      </c>
      <c r="R90" s="1939">
        <f t="shared" si="54"/>
        <v>17447.29</v>
      </c>
      <c r="S90" s="84"/>
      <c r="T90" s="84"/>
      <c r="U90" s="84"/>
      <c r="V90" s="1938">
        <f t="shared" ref="V90:W90" si="55">V91</f>
        <v>17447.29</v>
      </c>
      <c r="W90" s="1938">
        <f t="shared" si="55"/>
        <v>17447.29</v>
      </c>
      <c r="X90" s="84"/>
      <c r="Z90" s="2141"/>
    </row>
    <row r="91" spans="2:26" s="83" customFormat="1" ht="38.25" hidden="1" customHeight="1" x14ac:dyDescent="0.3">
      <c r="B91" s="52" t="s">
        <v>395</v>
      </c>
      <c r="C91" s="89"/>
      <c r="D91" s="89" t="s">
        <v>52</v>
      </c>
      <c r="E91" s="89" t="s">
        <v>58</v>
      </c>
      <c r="F91" s="89" t="s">
        <v>394</v>
      </c>
      <c r="G91" s="131"/>
      <c r="H91" s="131"/>
      <c r="I91" s="89" t="s">
        <v>58</v>
      </c>
      <c r="J91" s="51">
        <f>J92+J96</f>
        <v>17447.29</v>
      </c>
      <c r="K91" s="158"/>
      <c r="L91" s="51">
        <f t="shared" ref="L91:R91" si="56">L92+L96</f>
        <v>11444.685000000001</v>
      </c>
      <c r="M91" s="51">
        <f t="shared" si="56"/>
        <v>14038.547</v>
      </c>
      <c r="N91" s="1938">
        <f t="shared" si="56"/>
        <v>17447.29</v>
      </c>
      <c r="O91" s="1944">
        <f t="shared" si="56"/>
        <v>17447.29</v>
      </c>
      <c r="P91" s="1944">
        <f t="shared" si="56"/>
        <v>17447.29</v>
      </c>
      <c r="Q91" s="1945">
        <f t="shared" si="56"/>
        <v>17447.29</v>
      </c>
      <c r="R91" s="1945">
        <f t="shared" si="56"/>
        <v>17447.29</v>
      </c>
      <c r="S91" s="84"/>
      <c r="T91" s="84"/>
      <c r="U91" s="84"/>
      <c r="V91" s="1938">
        <f t="shared" ref="V91:W91" si="57">V92+V96</f>
        <v>17447.29</v>
      </c>
      <c r="W91" s="1938">
        <f t="shared" si="57"/>
        <v>17447.29</v>
      </c>
      <c r="X91" s="84"/>
      <c r="Z91" s="2141"/>
    </row>
    <row r="92" spans="2:26" s="83" customFormat="1" ht="65.5" hidden="1" thickBot="1" x14ac:dyDescent="0.35">
      <c r="B92" s="157" t="s">
        <v>751</v>
      </c>
      <c r="C92" s="33"/>
      <c r="D92" s="33" t="s">
        <v>52</v>
      </c>
      <c r="E92" s="33" t="s">
        <v>58</v>
      </c>
      <c r="F92" s="89" t="s">
        <v>392</v>
      </c>
      <c r="G92" s="89"/>
      <c r="H92" s="89"/>
      <c r="I92" s="33" t="s">
        <v>58</v>
      </c>
      <c r="J92" s="1064">
        <f>J93</f>
        <v>16806.29</v>
      </c>
      <c r="K92" s="1065"/>
      <c r="L92" s="1065">
        <f t="shared" ref="L92:R93" si="58">L93</f>
        <v>10777.685000000001</v>
      </c>
      <c r="M92" s="1064">
        <f t="shared" si="58"/>
        <v>13305.547</v>
      </c>
      <c r="N92" s="1938">
        <f t="shared" si="58"/>
        <v>16806.29</v>
      </c>
      <c r="O92" s="1939">
        <f t="shared" si="58"/>
        <v>16806.29</v>
      </c>
      <c r="P92" s="1939">
        <f t="shared" si="58"/>
        <v>16806.29</v>
      </c>
      <c r="Q92" s="1939">
        <f t="shared" si="58"/>
        <v>16806.29</v>
      </c>
      <c r="R92" s="1939">
        <f t="shared" si="58"/>
        <v>16806.29</v>
      </c>
      <c r="S92" s="84"/>
      <c r="T92" s="84"/>
      <c r="U92" s="84"/>
      <c r="V92" s="1938">
        <f t="shared" ref="V92:W93" si="59">V93</f>
        <v>16806.29</v>
      </c>
      <c r="W92" s="1938">
        <f t="shared" si="59"/>
        <v>16806.29</v>
      </c>
      <c r="X92" s="84"/>
      <c r="Z92" s="2141"/>
    </row>
    <row r="93" spans="2:26" s="83" customFormat="1" ht="65.5" hidden="1" thickBot="1" x14ac:dyDescent="0.35">
      <c r="B93" s="90" t="s">
        <v>752</v>
      </c>
      <c r="C93" s="33"/>
      <c r="D93" s="33" t="s">
        <v>52</v>
      </c>
      <c r="E93" s="33" t="s">
        <v>58</v>
      </c>
      <c r="F93" s="33" t="s">
        <v>390</v>
      </c>
      <c r="G93" s="33"/>
      <c r="H93" s="33"/>
      <c r="I93" s="33" t="s">
        <v>58</v>
      </c>
      <c r="J93" s="1061">
        <f>J94</f>
        <v>16806.29</v>
      </c>
      <c r="K93" s="1063"/>
      <c r="L93" s="1061">
        <f t="shared" si="58"/>
        <v>10777.685000000001</v>
      </c>
      <c r="M93" s="1061">
        <f t="shared" si="58"/>
        <v>13305.547</v>
      </c>
      <c r="N93" s="1940">
        <f t="shared" si="58"/>
        <v>16806.29</v>
      </c>
      <c r="O93" s="1941">
        <f t="shared" si="58"/>
        <v>16806.29</v>
      </c>
      <c r="P93" s="1941">
        <f t="shared" si="58"/>
        <v>16806.29</v>
      </c>
      <c r="Q93" s="1941">
        <f t="shared" si="58"/>
        <v>16806.29</v>
      </c>
      <c r="R93" s="1941">
        <f t="shared" si="58"/>
        <v>16806.29</v>
      </c>
      <c r="S93" s="84"/>
      <c r="T93" s="84"/>
      <c r="U93" s="84"/>
      <c r="V93" s="1940">
        <f t="shared" si="59"/>
        <v>16806.29</v>
      </c>
      <c r="W93" s="1940">
        <f t="shared" si="59"/>
        <v>16806.29</v>
      </c>
      <c r="X93" s="84"/>
      <c r="Z93" s="2141"/>
    </row>
    <row r="94" spans="2:26" s="83" customFormat="1" ht="13.5" hidden="1" thickBot="1" x14ac:dyDescent="0.35">
      <c r="B94" s="1935" t="s">
        <v>16</v>
      </c>
      <c r="C94" s="33"/>
      <c r="D94" s="33" t="s">
        <v>52</v>
      </c>
      <c r="E94" s="33" t="s">
        <v>58</v>
      </c>
      <c r="F94" s="33" t="s">
        <v>390</v>
      </c>
      <c r="G94" s="33" t="s">
        <v>1</v>
      </c>
      <c r="H94" s="33"/>
      <c r="I94" s="33" t="s">
        <v>58</v>
      </c>
      <c r="J94" s="1061">
        <f>7156.753+13430-3780.463</f>
        <v>16806.29</v>
      </c>
      <c r="K94" s="1063"/>
      <c r="L94" s="1061">
        <f>22480.2-11702.515</f>
        <v>10777.685000000001</v>
      </c>
      <c r="M94" s="1061">
        <v>13305.547</v>
      </c>
      <c r="N94" s="1940">
        <f>7156.753+13430-3780.463</f>
        <v>16806.29</v>
      </c>
      <c r="O94" s="1941">
        <f>7156.753+13430-3780.463</f>
        <v>16806.29</v>
      </c>
      <c r="P94" s="1941">
        <f>7156.753+13430-3780.463</f>
        <v>16806.29</v>
      </c>
      <c r="Q94" s="1941">
        <f>7156.753+13430-3780.463</f>
        <v>16806.29</v>
      </c>
      <c r="R94" s="1941">
        <f>7156.753+13430-3780.463</f>
        <v>16806.29</v>
      </c>
      <c r="S94" s="84"/>
      <c r="T94" s="84"/>
      <c r="U94" s="84"/>
      <c r="V94" s="1940">
        <f>7156.753+13430-3780.463</f>
        <v>16806.29</v>
      </c>
      <c r="W94" s="1940">
        <f>7156.753+13430-3780.463</f>
        <v>16806.29</v>
      </c>
      <c r="X94" s="84"/>
      <c r="Z94" s="2141"/>
    </row>
    <row r="95" spans="2:26" s="83" customFormat="1" ht="52.5" hidden="1" thickBot="1" x14ac:dyDescent="0.35">
      <c r="B95" s="90" t="s">
        <v>211</v>
      </c>
      <c r="C95" s="89"/>
      <c r="D95" s="33" t="s">
        <v>52</v>
      </c>
      <c r="E95" s="33" t="s">
        <v>58</v>
      </c>
      <c r="F95" s="33" t="s">
        <v>210</v>
      </c>
      <c r="G95" s="89"/>
      <c r="H95" s="89"/>
      <c r="I95" s="33" t="s">
        <v>58</v>
      </c>
      <c r="J95" s="1063"/>
      <c r="K95" s="1063"/>
      <c r="L95" s="1063"/>
      <c r="M95" s="1063"/>
      <c r="N95" s="1940"/>
      <c r="O95" s="1941"/>
      <c r="P95" s="1941"/>
      <c r="Q95" s="1941"/>
      <c r="R95" s="1941"/>
      <c r="S95" s="84"/>
      <c r="T95" s="84"/>
      <c r="U95" s="84"/>
      <c r="V95" s="1940"/>
      <c r="W95" s="1940"/>
      <c r="X95" s="84"/>
      <c r="Z95" s="2141"/>
    </row>
    <row r="96" spans="2:26" s="83" customFormat="1" ht="52.5" hidden="1" thickBot="1" x14ac:dyDescent="0.35">
      <c r="B96" s="157" t="s">
        <v>753</v>
      </c>
      <c r="C96" s="89"/>
      <c r="D96" s="33" t="s">
        <v>52</v>
      </c>
      <c r="E96" s="33" t="s">
        <v>58</v>
      </c>
      <c r="F96" s="89" t="s">
        <v>388</v>
      </c>
      <c r="G96" s="88"/>
      <c r="H96" s="88"/>
      <c r="I96" s="33" t="s">
        <v>58</v>
      </c>
      <c r="J96" s="1065">
        <f>J97</f>
        <v>641</v>
      </c>
      <c r="K96" s="1065"/>
      <c r="L96" s="1065">
        <f t="shared" ref="L96:R97" si="60">L97</f>
        <v>667</v>
      </c>
      <c r="M96" s="1065">
        <f t="shared" si="60"/>
        <v>733</v>
      </c>
      <c r="N96" s="1938">
        <f t="shared" si="60"/>
        <v>641</v>
      </c>
      <c r="O96" s="1939">
        <f t="shared" si="60"/>
        <v>641</v>
      </c>
      <c r="P96" s="1939">
        <f t="shared" si="60"/>
        <v>641</v>
      </c>
      <c r="Q96" s="1939">
        <f t="shared" si="60"/>
        <v>641</v>
      </c>
      <c r="R96" s="1939">
        <f t="shared" si="60"/>
        <v>641</v>
      </c>
      <c r="S96" s="84"/>
      <c r="T96" s="84"/>
      <c r="U96" s="84"/>
      <c r="V96" s="1938">
        <f t="shared" ref="V96:W97" si="61">V97</f>
        <v>641</v>
      </c>
      <c r="W96" s="1938">
        <f t="shared" si="61"/>
        <v>641</v>
      </c>
      <c r="X96" s="84"/>
      <c r="Z96" s="2141"/>
    </row>
    <row r="97" spans="2:26" s="83" customFormat="1" ht="65.5" hidden="1" thickBot="1" x14ac:dyDescent="0.35">
      <c r="B97" s="49" t="s">
        <v>754</v>
      </c>
      <c r="C97" s="89"/>
      <c r="D97" s="33" t="s">
        <v>52</v>
      </c>
      <c r="E97" s="33" t="s">
        <v>58</v>
      </c>
      <c r="F97" s="33" t="s">
        <v>386</v>
      </c>
      <c r="G97" s="88"/>
      <c r="H97" s="88"/>
      <c r="I97" s="33" t="s">
        <v>58</v>
      </c>
      <c r="J97" s="1063">
        <f>J98</f>
        <v>641</v>
      </c>
      <c r="K97" s="1063"/>
      <c r="L97" s="1063">
        <f t="shared" si="60"/>
        <v>667</v>
      </c>
      <c r="M97" s="1063">
        <f t="shared" si="60"/>
        <v>733</v>
      </c>
      <c r="N97" s="1940">
        <f t="shared" si="60"/>
        <v>641</v>
      </c>
      <c r="O97" s="1941">
        <f t="shared" si="60"/>
        <v>641</v>
      </c>
      <c r="P97" s="1941">
        <f t="shared" si="60"/>
        <v>641</v>
      </c>
      <c r="Q97" s="1941">
        <f t="shared" si="60"/>
        <v>641</v>
      </c>
      <c r="R97" s="1941">
        <f t="shared" si="60"/>
        <v>641</v>
      </c>
      <c r="S97" s="84"/>
      <c r="T97" s="84"/>
      <c r="U97" s="84"/>
      <c r="V97" s="1940">
        <f t="shared" si="61"/>
        <v>641</v>
      </c>
      <c r="W97" s="1940">
        <f t="shared" si="61"/>
        <v>641</v>
      </c>
      <c r="X97" s="84"/>
      <c r="Z97" s="2141"/>
    </row>
    <row r="98" spans="2:26" s="83" customFormat="1" ht="13.5" hidden="1" thickBot="1" x14ac:dyDescent="0.35">
      <c r="B98" s="1935" t="s">
        <v>16</v>
      </c>
      <c r="C98" s="89"/>
      <c r="D98" s="33" t="s">
        <v>52</v>
      </c>
      <c r="E98" s="33" t="s">
        <v>58</v>
      </c>
      <c r="F98" s="33" t="s">
        <v>386</v>
      </c>
      <c r="G98" s="88">
        <v>240</v>
      </c>
      <c r="H98" s="88"/>
      <c r="I98" s="33" t="s">
        <v>58</v>
      </c>
      <c r="J98" s="1063">
        <v>641</v>
      </c>
      <c r="K98" s="1063"/>
      <c r="L98" s="1063">
        <v>667</v>
      </c>
      <c r="M98" s="1063">
        <v>733</v>
      </c>
      <c r="N98" s="1940">
        <v>641</v>
      </c>
      <c r="O98" s="1941">
        <v>641</v>
      </c>
      <c r="P98" s="1941">
        <v>641</v>
      </c>
      <c r="Q98" s="1941">
        <v>641</v>
      </c>
      <c r="R98" s="1941">
        <v>641</v>
      </c>
      <c r="S98" s="84"/>
      <c r="T98" s="84"/>
      <c r="U98" s="84"/>
      <c r="V98" s="1940">
        <v>641</v>
      </c>
      <c r="W98" s="1940">
        <v>641</v>
      </c>
      <c r="X98" s="84"/>
      <c r="Z98" s="2141"/>
    </row>
    <row r="99" spans="2:26" s="83" customFormat="1" ht="13.5" hidden="1" thickBot="1" x14ac:dyDescent="0.35">
      <c r="B99" s="215" t="s">
        <v>51</v>
      </c>
      <c r="C99" s="89"/>
      <c r="D99" s="34" t="s">
        <v>52</v>
      </c>
      <c r="E99" s="34" t="s">
        <v>49</v>
      </c>
      <c r="F99" s="33"/>
      <c r="G99" s="88"/>
      <c r="H99" s="88"/>
      <c r="I99" s="34" t="s">
        <v>49</v>
      </c>
      <c r="J99" s="1072">
        <f>J100+J104</f>
        <v>649.79999999999995</v>
      </c>
      <c r="K99" s="1072"/>
      <c r="L99" s="1072">
        <f t="shared" ref="L99:R99" si="62">L100+L104</f>
        <v>369.8</v>
      </c>
      <c r="M99" s="1072">
        <f t="shared" si="62"/>
        <v>374.8</v>
      </c>
      <c r="N99" s="1938">
        <f t="shared" si="62"/>
        <v>649.79999999999995</v>
      </c>
      <c r="O99" s="1939">
        <f t="shared" si="62"/>
        <v>649.79999999999995</v>
      </c>
      <c r="P99" s="1939">
        <f t="shared" si="62"/>
        <v>649.79999999999995</v>
      </c>
      <c r="Q99" s="1939">
        <f t="shared" si="62"/>
        <v>649.79999999999995</v>
      </c>
      <c r="R99" s="1939">
        <f t="shared" si="62"/>
        <v>649.79999999999995</v>
      </c>
      <c r="S99" s="84"/>
      <c r="T99" s="84"/>
      <c r="U99" s="84"/>
      <c r="V99" s="1938">
        <f t="shared" ref="V99:W99" si="63">V100+V104</f>
        <v>649.79999999999995</v>
      </c>
      <c r="W99" s="1938">
        <f t="shared" si="63"/>
        <v>649.79999999999995</v>
      </c>
      <c r="X99" s="84"/>
      <c r="Z99" s="2141"/>
    </row>
    <row r="100" spans="2:26" s="83" customFormat="1" ht="51.75" hidden="1" customHeight="1" x14ac:dyDescent="0.3">
      <c r="B100" s="52" t="s">
        <v>385</v>
      </c>
      <c r="C100" s="9"/>
      <c r="D100" s="34" t="s">
        <v>52</v>
      </c>
      <c r="E100" s="34" t="s">
        <v>49</v>
      </c>
      <c r="F100" s="34" t="s">
        <v>384</v>
      </c>
      <c r="G100" s="131"/>
      <c r="H100" s="131"/>
      <c r="I100" s="34" t="s">
        <v>49</v>
      </c>
      <c r="J100" s="51">
        <f>J102</f>
        <v>300</v>
      </c>
      <c r="K100" s="51"/>
      <c r="L100" s="51">
        <f t="shared" ref="L100:R100" si="64">L102</f>
        <v>305</v>
      </c>
      <c r="M100" s="51">
        <f t="shared" si="64"/>
        <v>310</v>
      </c>
      <c r="N100" s="1938">
        <f t="shared" si="64"/>
        <v>300</v>
      </c>
      <c r="O100" s="1944">
        <f t="shared" si="64"/>
        <v>300</v>
      </c>
      <c r="P100" s="1944">
        <f t="shared" si="64"/>
        <v>300</v>
      </c>
      <c r="Q100" s="1945">
        <f t="shared" si="64"/>
        <v>300</v>
      </c>
      <c r="R100" s="1945">
        <f t="shared" si="64"/>
        <v>300</v>
      </c>
      <c r="S100" s="84"/>
      <c r="T100" s="84"/>
      <c r="U100" s="84"/>
      <c r="V100" s="1938">
        <f t="shared" ref="V100:W100" si="65">V102</f>
        <v>300</v>
      </c>
      <c r="W100" s="1938">
        <f t="shared" si="65"/>
        <v>300</v>
      </c>
      <c r="X100" s="84"/>
      <c r="Z100" s="2141"/>
    </row>
    <row r="101" spans="2:26" s="83" customFormat="1" ht="78" hidden="1" customHeight="1" x14ac:dyDescent="0.3">
      <c r="B101" s="170" t="s">
        <v>755</v>
      </c>
      <c r="D101" s="33" t="s">
        <v>52</v>
      </c>
      <c r="E101" s="33" t="s">
        <v>49</v>
      </c>
      <c r="F101" s="33" t="s">
        <v>290</v>
      </c>
      <c r="G101" s="9"/>
      <c r="H101" s="9"/>
      <c r="I101" s="33" t="s">
        <v>49</v>
      </c>
      <c r="J101" s="1065"/>
      <c r="K101" s="1065"/>
      <c r="L101" s="1065"/>
      <c r="M101" s="1065"/>
      <c r="N101" s="1938"/>
      <c r="O101" s="1939"/>
      <c r="P101" s="1939"/>
      <c r="Q101" s="1939"/>
      <c r="R101" s="1939"/>
      <c r="S101" s="84"/>
      <c r="T101" s="84"/>
      <c r="U101" s="84"/>
      <c r="V101" s="1938"/>
      <c r="W101" s="1938"/>
      <c r="X101" s="84"/>
      <c r="Z101" s="2141"/>
    </row>
    <row r="102" spans="2:26" s="83" customFormat="1" ht="98.5" hidden="1" thickBot="1" x14ac:dyDescent="0.35">
      <c r="B102" s="214" t="s">
        <v>756</v>
      </c>
      <c r="C102" s="9"/>
      <c r="D102" s="33" t="s">
        <v>52</v>
      </c>
      <c r="E102" s="33" t="s">
        <v>49</v>
      </c>
      <c r="F102" s="33" t="s">
        <v>382</v>
      </c>
      <c r="G102" s="9"/>
      <c r="H102" s="9"/>
      <c r="I102" s="33" t="s">
        <v>49</v>
      </c>
      <c r="J102" s="1065">
        <f>J103</f>
        <v>300</v>
      </c>
      <c r="K102" s="1065"/>
      <c r="L102" s="1065">
        <f t="shared" ref="L102:R102" si="66">L103</f>
        <v>305</v>
      </c>
      <c r="M102" s="1065">
        <f t="shared" si="66"/>
        <v>310</v>
      </c>
      <c r="N102" s="1938">
        <f t="shared" si="66"/>
        <v>300</v>
      </c>
      <c r="O102" s="1939">
        <f t="shared" si="66"/>
        <v>300</v>
      </c>
      <c r="P102" s="1939">
        <f t="shared" si="66"/>
        <v>300</v>
      </c>
      <c r="Q102" s="1939">
        <f t="shared" si="66"/>
        <v>300</v>
      </c>
      <c r="R102" s="1939">
        <f t="shared" si="66"/>
        <v>300</v>
      </c>
      <c r="S102" s="84"/>
      <c r="T102" s="84"/>
      <c r="U102" s="84"/>
      <c r="V102" s="1938">
        <f t="shared" ref="V102:W102" si="67">V103</f>
        <v>300</v>
      </c>
      <c r="W102" s="1938">
        <f t="shared" si="67"/>
        <v>300</v>
      </c>
      <c r="X102" s="84"/>
      <c r="Z102" s="2141"/>
    </row>
    <row r="103" spans="2:26" s="83" customFormat="1" ht="13.5" hidden="1" thickBot="1" x14ac:dyDescent="0.35">
      <c r="B103" s="1935" t="s">
        <v>16</v>
      </c>
      <c r="C103" s="9"/>
      <c r="D103" s="33" t="s">
        <v>52</v>
      </c>
      <c r="E103" s="33" t="s">
        <v>49</v>
      </c>
      <c r="F103" s="33" t="s">
        <v>382</v>
      </c>
      <c r="G103" s="9" t="s">
        <v>1</v>
      </c>
      <c r="H103" s="9"/>
      <c r="I103" s="33" t="s">
        <v>49</v>
      </c>
      <c r="J103" s="1063">
        <v>300</v>
      </c>
      <c r="K103" s="1065"/>
      <c r="L103" s="1063">
        <v>305</v>
      </c>
      <c r="M103" s="1063">
        <v>310</v>
      </c>
      <c r="N103" s="1940">
        <v>300</v>
      </c>
      <c r="O103" s="1941">
        <v>300</v>
      </c>
      <c r="P103" s="1941">
        <v>300</v>
      </c>
      <c r="Q103" s="1941">
        <v>300</v>
      </c>
      <c r="R103" s="1941">
        <v>300</v>
      </c>
      <c r="S103" s="84"/>
      <c r="T103" s="84"/>
      <c r="U103" s="84"/>
      <c r="V103" s="1940">
        <v>300</v>
      </c>
      <c r="W103" s="1940">
        <v>300</v>
      </c>
      <c r="X103" s="84"/>
      <c r="Z103" s="2141"/>
    </row>
    <row r="104" spans="2:26" s="83" customFormat="1" ht="39.5" hidden="1" thickBot="1" x14ac:dyDescent="0.35">
      <c r="B104" s="52" t="s">
        <v>25</v>
      </c>
      <c r="C104" s="9"/>
      <c r="D104" s="34" t="s">
        <v>52</v>
      </c>
      <c r="E104" s="34" t="s">
        <v>49</v>
      </c>
      <c r="F104" s="34" t="s">
        <v>24</v>
      </c>
      <c r="G104" s="34"/>
      <c r="H104" s="34"/>
      <c r="I104" s="34" t="s">
        <v>49</v>
      </c>
      <c r="J104" s="1065">
        <f>J105+J107+J109</f>
        <v>349.8</v>
      </c>
      <c r="K104" s="1065"/>
      <c r="L104" s="1065">
        <f t="shared" ref="L104:R104" si="68">L105+L107+L109</f>
        <v>64.8</v>
      </c>
      <c r="M104" s="1065">
        <f t="shared" si="68"/>
        <v>64.8</v>
      </c>
      <c r="N104" s="1938">
        <f t="shared" si="68"/>
        <v>349.8</v>
      </c>
      <c r="O104" s="1939">
        <f t="shared" si="68"/>
        <v>349.8</v>
      </c>
      <c r="P104" s="1939">
        <f t="shared" si="68"/>
        <v>349.8</v>
      </c>
      <c r="Q104" s="1939">
        <f t="shared" si="68"/>
        <v>349.8</v>
      </c>
      <c r="R104" s="1939">
        <f t="shared" si="68"/>
        <v>349.8</v>
      </c>
      <c r="S104" s="84"/>
      <c r="T104" s="84"/>
      <c r="U104" s="84"/>
      <c r="V104" s="1938">
        <f t="shared" ref="V104:W104" si="69">V105+V107+V109</f>
        <v>349.8</v>
      </c>
      <c r="W104" s="1938">
        <f t="shared" si="69"/>
        <v>349.8</v>
      </c>
      <c r="X104" s="84"/>
      <c r="Z104" s="2141"/>
    </row>
    <row r="105" spans="2:26" s="83" customFormat="1" ht="13.5" hidden="1" thickBot="1" x14ac:dyDescent="0.35">
      <c r="B105" s="49" t="s">
        <v>57</v>
      </c>
      <c r="C105" s="9"/>
      <c r="D105" s="9" t="s">
        <v>52</v>
      </c>
      <c r="E105" s="9" t="s">
        <v>49</v>
      </c>
      <c r="F105" s="34" t="s">
        <v>56</v>
      </c>
      <c r="G105" s="34"/>
      <c r="H105" s="34"/>
      <c r="I105" s="9" t="s">
        <v>49</v>
      </c>
      <c r="J105" s="1065">
        <f>J106</f>
        <v>195</v>
      </c>
      <c r="K105" s="1065"/>
      <c r="L105" s="1065">
        <f t="shared" ref="L105:R105" si="70">L106</f>
        <v>0</v>
      </c>
      <c r="M105" s="1065">
        <f t="shared" si="70"/>
        <v>0</v>
      </c>
      <c r="N105" s="1938">
        <f t="shared" si="70"/>
        <v>195</v>
      </c>
      <c r="O105" s="1939">
        <f t="shared" si="70"/>
        <v>195</v>
      </c>
      <c r="P105" s="1939">
        <f t="shared" si="70"/>
        <v>195</v>
      </c>
      <c r="Q105" s="1939">
        <f t="shared" si="70"/>
        <v>195</v>
      </c>
      <c r="R105" s="1939">
        <f t="shared" si="70"/>
        <v>195</v>
      </c>
      <c r="S105" s="84"/>
      <c r="T105" s="84"/>
      <c r="U105" s="84"/>
      <c r="V105" s="1938">
        <f t="shared" ref="V105:W105" si="71">V106</f>
        <v>195</v>
      </c>
      <c r="W105" s="1938">
        <f t="shared" si="71"/>
        <v>195</v>
      </c>
      <c r="X105" s="84"/>
      <c r="Z105" s="2141"/>
    </row>
    <row r="106" spans="2:26" s="83" customFormat="1" ht="13.5" hidden="1" thickBot="1" x14ac:dyDescent="0.35">
      <c r="B106" s="1935" t="s">
        <v>16</v>
      </c>
      <c r="C106" s="9"/>
      <c r="D106" s="9" t="s">
        <v>52</v>
      </c>
      <c r="E106" s="9" t="s">
        <v>49</v>
      </c>
      <c r="F106" s="9" t="s">
        <v>56</v>
      </c>
      <c r="G106" s="9" t="s">
        <v>1</v>
      </c>
      <c r="H106" s="9"/>
      <c r="I106" s="9" t="s">
        <v>49</v>
      </c>
      <c r="J106" s="1063">
        <v>195</v>
      </c>
      <c r="K106" s="1063"/>
      <c r="L106" s="1063"/>
      <c r="M106" s="1063"/>
      <c r="N106" s="1940">
        <v>195</v>
      </c>
      <c r="O106" s="1941">
        <v>195</v>
      </c>
      <c r="P106" s="1941">
        <v>195</v>
      </c>
      <c r="Q106" s="1941">
        <v>195</v>
      </c>
      <c r="R106" s="1941">
        <v>195</v>
      </c>
      <c r="S106" s="84"/>
      <c r="T106" s="84"/>
      <c r="U106" s="84"/>
      <c r="V106" s="1940">
        <v>195</v>
      </c>
      <c r="W106" s="1940">
        <v>195</v>
      </c>
      <c r="X106" s="84"/>
      <c r="Z106" s="2141"/>
    </row>
    <row r="107" spans="2:26" s="83" customFormat="1" ht="13.5" hidden="1" thickBot="1" x14ac:dyDescent="0.35">
      <c r="B107" s="49" t="s">
        <v>55</v>
      </c>
      <c r="C107" s="9"/>
      <c r="D107" s="9" t="s">
        <v>52</v>
      </c>
      <c r="E107" s="9" t="s">
        <v>49</v>
      </c>
      <c r="F107" s="34" t="s">
        <v>381</v>
      </c>
      <c r="G107" s="9"/>
      <c r="H107" s="9"/>
      <c r="I107" s="9" t="s">
        <v>49</v>
      </c>
      <c r="J107" s="1065">
        <f>J108</f>
        <v>64.8</v>
      </c>
      <c r="K107" s="1065"/>
      <c r="L107" s="1065">
        <f t="shared" ref="L107:R107" si="72">L108</f>
        <v>64.8</v>
      </c>
      <c r="M107" s="1065">
        <f t="shared" si="72"/>
        <v>64.8</v>
      </c>
      <c r="N107" s="1938">
        <f t="shared" si="72"/>
        <v>64.8</v>
      </c>
      <c r="O107" s="1939">
        <f t="shared" si="72"/>
        <v>64.8</v>
      </c>
      <c r="P107" s="1939">
        <f t="shared" si="72"/>
        <v>64.8</v>
      </c>
      <c r="Q107" s="1939">
        <f t="shared" si="72"/>
        <v>64.8</v>
      </c>
      <c r="R107" s="1939">
        <f t="shared" si="72"/>
        <v>64.8</v>
      </c>
      <c r="S107" s="84"/>
      <c r="T107" s="84"/>
      <c r="U107" s="84"/>
      <c r="V107" s="1938">
        <f t="shared" ref="V107:W107" si="73">V108</f>
        <v>64.8</v>
      </c>
      <c r="W107" s="1938">
        <f t="shared" si="73"/>
        <v>64.8</v>
      </c>
      <c r="X107" s="84"/>
      <c r="Z107" s="2141"/>
    </row>
    <row r="108" spans="2:26" s="83" customFormat="1" ht="13.5" hidden="1" thickBot="1" x14ac:dyDescent="0.35">
      <c r="B108" s="1935" t="s">
        <v>16</v>
      </c>
      <c r="C108" s="9"/>
      <c r="D108" s="9" t="s">
        <v>52</v>
      </c>
      <c r="E108" s="9" t="s">
        <v>49</v>
      </c>
      <c r="F108" s="9" t="s">
        <v>381</v>
      </c>
      <c r="G108" s="9" t="s">
        <v>1</v>
      </c>
      <c r="H108" s="9"/>
      <c r="I108" s="9" t="s">
        <v>49</v>
      </c>
      <c r="J108" s="1063">
        <v>64.8</v>
      </c>
      <c r="K108" s="1063"/>
      <c r="L108" s="1063">
        <v>64.8</v>
      </c>
      <c r="M108" s="1063">
        <v>64.8</v>
      </c>
      <c r="N108" s="1940">
        <v>64.8</v>
      </c>
      <c r="O108" s="1941">
        <v>64.8</v>
      </c>
      <c r="P108" s="1941">
        <v>64.8</v>
      </c>
      <c r="Q108" s="1941">
        <v>64.8</v>
      </c>
      <c r="R108" s="1941">
        <v>64.8</v>
      </c>
      <c r="S108" s="84"/>
      <c r="T108" s="84"/>
      <c r="U108" s="84"/>
      <c r="V108" s="1940">
        <v>64.8</v>
      </c>
      <c r="W108" s="1940">
        <v>64.8</v>
      </c>
      <c r="X108" s="84"/>
      <c r="Z108" s="2141"/>
    </row>
    <row r="109" spans="2:26" s="83" customFormat="1" ht="13.5" hidden="1" thickBot="1" x14ac:dyDescent="0.35">
      <c r="B109" s="49" t="s">
        <v>380</v>
      </c>
      <c r="C109" s="9"/>
      <c r="D109" s="9" t="s">
        <v>52</v>
      </c>
      <c r="E109" s="9" t="s">
        <v>49</v>
      </c>
      <c r="F109" s="34" t="s">
        <v>379</v>
      </c>
      <c r="G109" s="9"/>
      <c r="H109" s="9"/>
      <c r="I109" s="9" t="s">
        <v>49</v>
      </c>
      <c r="J109" s="1065">
        <f>J110</f>
        <v>90</v>
      </c>
      <c r="K109" s="1065"/>
      <c r="L109" s="1065">
        <f t="shared" ref="L109:R109" si="74">L110</f>
        <v>0</v>
      </c>
      <c r="M109" s="1065">
        <f t="shared" si="74"/>
        <v>0</v>
      </c>
      <c r="N109" s="1938">
        <f t="shared" si="74"/>
        <v>90</v>
      </c>
      <c r="O109" s="1939">
        <f t="shared" si="74"/>
        <v>90</v>
      </c>
      <c r="P109" s="1939">
        <f t="shared" si="74"/>
        <v>90</v>
      </c>
      <c r="Q109" s="1939">
        <f t="shared" si="74"/>
        <v>90</v>
      </c>
      <c r="R109" s="1939">
        <f t="shared" si="74"/>
        <v>90</v>
      </c>
      <c r="S109" s="84"/>
      <c r="T109" s="84"/>
      <c r="U109" s="84"/>
      <c r="V109" s="1938">
        <f t="shared" ref="V109:W109" si="75">V110</f>
        <v>90</v>
      </c>
      <c r="W109" s="1938">
        <f t="shared" si="75"/>
        <v>90</v>
      </c>
      <c r="X109" s="84"/>
      <c r="Z109" s="2141"/>
    </row>
    <row r="110" spans="2:26" s="83" customFormat="1" ht="13.5" hidden="1" thickBot="1" x14ac:dyDescent="0.35">
      <c r="B110" s="1935" t="s">
        <v>16</v>
      </c>
      <c r="C110" s="9"/>
      <c r="D110" s="9" t="s">
        <v>52</v>
      </c>
      <c r="E110" s="9" t="s">
        <v>49</v>
      </c>
      <c r="F110" s="9" t="s">
        <v>379</v>
      </c>
      <c r="G110" s="9" t="s">
        <v>1</v>
      </c>
      <c r="H110" s="9"/>
      <c r="I110" s="9" t="s">
        <v>49</v>
      </c>
      <c r="J110" s="1063">
        <v>90</v>
      </c>
      <c r="K110" s="1065"/>
      <c r="L110" s="1065"/>
      <c r="M110" s="1065"/>
      <c r="N110" s="1940">
        <v>90</v>
      </c>
      <c r="O110" s="1941">
        <v>90</v>
      </c>
      <c r="P110" s="1941">
        <v>90</v>
      </c>
      <c r="Q110" s="1941">
        <v>90</v>
      </c>
      <c r="R110" s="1941">
        <v>90</v>
      </c>
      <c r="S110" s="84"/>
      <c r="T110" s="84"/>
      <c r="U110" s="84"/>
      <c r="V110" s="1940">
        <v>90</v>
      </c>
      <c r="W110" s="1940">
        <v>90</v>
      </c>
      <c r="X110" s="84"/>
      <c r="Z110" s="2141"/>
    </row>
    <row r="111" spans="2:26" s="83" customFormat="1" ht="14.5" hidden="1" thickBot="1" x14ac:dyDescent="0.35">
      <c r="B111" s="213" t="s">
        <v>378</v>
      </c>
      <c r="C111" s="202"/>
      <c r="D111" s="202" t="s">
        <v>15</v>
      </c>
      <c r="E111" s="200"/>
      <c r="F111" s="200"/>
      <c r="G111" s="200"/>
      <c r="H111" s="200"/>
      <c r="I111" s="200"/>
      <c r="J111" s="1073">
        <f>J112+J123+J136+J145</f>
        <v>22021.318999999996</v>
      </c>
      <c r="K111" s="1067"/>
      <c r="L111" s="1073">
        <f t="shared" ref="L111:R111" si="76">L112+L123+L136+L145</f>
        <v>27710.55</v>
      </c>
      <c r="M111" s="1073">
        <f t="shared" si="76"/>
        <v>26064.505000000001</v>
      </c>
      <c r="N111" s="1942">
        <f t="shared" si="76"/>
        <v>22021.318999999996</v>
      </c>
      <c r="O111" s="1943">
        <f t="shared" si="76"/>
        <v>22021.318999999996</v>
      </c>
      <c r="P111" s="1943">
        <f t="shared" si="76"/>
        <v>22021.318999999996</v>
      </c>
      <c r="Q111" s="1943">
        <f t="shared" si="76"/>
        <v>22021.318999999996</v>
      </c>
      <c r="R111" s="1943">
        <f t="shared" si="76"/>
        <v>22021.318999999996</v>
      </c>
      <c r="S111" s="84"/>
      <c r="T111" s="84"/>
      <c r="U111" s="84"/>
      <c r="V111" s="1942">
        <f t="shared" ref="V111:W111" si="77">V112+V123+V136+V145</f>
        <v>22021.318999999996</v>
      </c>
      <c r="W111" s="1942">
        <f t="shared" si="77"/>
        <v>22021.318999999996</v>
      </c>
      <c r="X111" s="84"/>
      <c r="Z111" s="2141"/>
    </row>
    <row r="112" spans="2:26" ht="13.5" hidden="1" thickBot="1" x14ac:dyDescent="0.3">
      <c r="B112" s="52" t="s">
        <v>11</v>
      </c>
      <c r="C112" s="34"/>
      <c r="D112" s="34" t="s">
        <v>15</v>
      </c>
      <c r="E112" s="34" t="s">
        <v>9</v>
      </c>
      <c r="F112" s="9"/>
      <c r="G112" s="9"/>
      <c r="H112" s="9"/>
      <c r="I112" s="34" t="s">
        <v>9</v>
      </c>
      <c r="J112" s="1061">
        <f>J113+J118</f>
        <v>9048</v>
      </c>
      <c r="K112" s="1061"/>
      <c r="L112" s="1061">
        <f t="shared" ref="L112:R112" si="78">L113+L118</f>
        <v>10000</v>
      </c>
      <c r="M112" s="1061">
        <f t="shared" si="78"/>
        <v>10000</v>
      </c>
      <c r="N112" s="1940">
        <f t="shared" si="78"/>
        <v>9048</v>
      </c>
      <c r="O112" s="1941">
        <f t="shared" si="78"/>
        <v>9048</v>
      </c>
      <c r="P112" s="1941">
        <f t="shared" si="78"/>
        <v>9048</v>
      </c>
      <c r="Q112" s="1941">
        <f t="shared" si="78"/>
        <v>9048</v>
      </c>
      <c r="R112" s="1941">
        <f t="shared" si="78"/>
        <v>9048</v>
      </c>
      <c r="V112" s="1940">
        <f t="shared" ref="V112:W112" si="79">V113+V118</f>
        <v>9048</v>
      </c>
      <c r="W112" s="1940">
        <f t="shared" si="79"/>
        <v>9048</v>
      </c>
    </row>
    <row r="113" spans="1:256" s="2" customFormat="1" ht="53.5" hidden="1" customHeight="1" x14ac:dyDescent="0.25">
      <c r="A113" s="1"/>
      <c r="B113" s="196" t="s">
        <v>285</v>
      </c>
      <c r="C113" s="34"/>
      <c r="D113" s="94" t="s">
        <v>15</v>
      </c>
      <c r="E113" s="34" t="s">
        <v>9</v>
      </c>
      <c r="F113" s="34" t="s">
        <v>284</v>
      </c>
      <c r="G113" s="131"/>
      <c r="H113" s="131"/>
      <c r="I113" s="34" t="s">
        <v>9</v>
      </c>
      <c r="J113" s="131"/>
      <c r="K113" s="131"/>
      <c r="L113" s="1"/>
      <c r="M113" s="13"/>
      <c r="N113" s="1938"/>
      <c r="O113" s="1944"/>
      <c r="P113" s="1944"/>
      <c r="Q113" s="1945"/>
      <c r="R113" s="1945"/>
      <c r="V113" s="1938"/>
      <c r="W113" s="1938"/>
      <c r="Y113" s="1"/>
      <c r="Z113" s="23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52.5" hidden="1" thickBot="1" x14ac:dyDescent="0.35">
      <c r="A114" s="1"/>
      <c r="B114" s="211" t="s">
        <v>757</v>
      </c>
      <c r="C114" s="9"/>
      <c r="D114" s="88" t="s">
        <v>15</v>
      </c>
      <c r="E114" s="9" t="s">
        <v>9</v>
      </c>
      <c r="F114" s="9" t="s">
        <v>282</v>
      </c>
      <c r="G114" s="9"/>
      <c r="H114" s="9"/>
      <c r="I114" s="9" t="s">
        <v>9</v>
      </c>
      <c r="J114" s="1058"/>
      <c r="K114" s="1058"/>
      <c r="L114" s="1058"/>
      <c r="M114" s="1058"/>
      <c r="N114" s="1933"/>
      <c r="O114" s="1934"/>
      <c r="P114" s="1934"/>
      <c r="Q114" s="1934"/>
      <c r="R114" s="1934"/>
      <c r="V114" s="1933"/>
      <c r="W114" s="1933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81.650000000000006" hidden="1" customHeight="1" x14ac:dyDescent="0.3">
      <c r="A115" s="1"/>
      <c r="B115" s="210" t="s">
        <v>758</v>
      </c>
      <c r="C115" s="9"/>
      <c r="D115" s="88" t="s">
        <v>15</v>
      </c>
      <c r="E115" s="9" t="s">
        <v>9</v>
      </c>
      <c r="F115" s="9" t="s">
        <v>280</v>
      </c>
      <c r="G115" s="9"/>
      <c r="H115" s="9"/>
      <c r="I115" s="9" t="s">
        <v>9</v>
      </c>
      <c r="J115" s="1058"/>
      <c r="K115" s="1058"/>
      <c r="L115" s="1058"/>
      <c r="M115" s="1058"/>
      <c r="N115" s="1933"/>
      <c r="O115" s="1934"/>
      <c r="P115" s="1934"/>
      <c r="Q115" s="1934"/>
      <c r="R115" s="1934"/>
      <c r="V115" s="1933"/>
      <c r="W115" s="1933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" hidden="1" customHeight="1" x14ac:dyDescent="0.3">
      <c r="A116" s="1"/>
      <c r="B116" s="211" t="s">
        <v>759</v>
      </c>
      <c r="C116" s="9"/>
      <c r="D116" s="88" t="s">
        <v>15</v>
      </c>
      <c r="E116" s="9" t="s">
        <v>9</v>
      </c>
      <c r="F116" s="9" t="s">
        <v>278</v>
      </c>
      <c r="G116" s="9"/>
      <c r="H116" s="9"/>
      <c r="I116" s="9" t="s">
        <v>9</v>
      </c>
      <c r="J116" s="1065"/>
      <c r="K116" s="1065"/>
      <c r="L116" s="1065"/>
      <c r="M116" s="1065"/>
      <c r="N116" s="1938"/>
      <c r="O116" s="1939"/>
      <c r="P116" s="1939"/>
      <c r="Q116" s="1939"/>
      <c r="R116" s="1939"/>
      <c r="V116" s="1938"/>
      <c r="W116" s="1938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52.5" hidden="1" thickBot="1" x14ac:dyDescent="0.35">
      <c r="A117" s="1"/>
      <c r="B117" s="210" t="s">
        <v>760</v>
      </c>
      <c r="C117" s="9"/>
      <c r="D117" s="88" t="s">
        <v>15</v>
      </c>
      <c r="E117" s="9" t="s">
        <v>9</v>
      </c>
      <c r="F117" s="9" t="s">
        <v>276</v>
      </c>
      <c r="G117" s="9"/>
      <c r="H117" s="9"/>
      <c r="I117" s="9" t="s">
        <v>9</v>
      </c>
      <c r="J117" s="1065"/>
      <c r="K117" s="1065"/>
      <c r="L117" s="1065"/>
      <c r="M117" s="1065"/>
      <c r="N117" s="1938"/>
      <c r="O117" s="1939"/>
      <c r="P117" s="1939"/>
      <c r="Q117" s="1939"/>
      <c r="R117" s="1939"/>
      <c r="V117" s="1938"/>
      <c r="W117" s="1938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39.65" hidden="1" customHeight="1" x14ac:dyDescent="0.25">
      <c r="A118" s="1"/>
      <c r="B118" s="52" t="s">
        <v>25</v>
      </c>
      <c r="C118" s="9"/>
      <c r="D118" s="34" t="s">
        <v>15</v>
      </c>
      <c r="E118" s="34" t="s">
        <v>9</v>
      </c>
      <c r="F118" s="34" t="s">
        <v>24</v>
      </c>
      <c r="G118" s="48"/>
      <c r="H118" s="48"/>
      <c r="I118" s="34" t="s">
        <v>9</v>
      </c>
      <c r="J118" s="47">
        <f>J119+J121</f>
        <v>9048</v>
      </c>
      <c r="K118" s="209"/>
      <c r="L118" s="47">
        <f t="shared" ref="L118:R118" si="80">L119+L121</f>
        <v>10000</v>
      </c>
      <c r="M118" s="47">
        <f t="shared" si="80"/>
        <v>10000</v>
      </c>
      <c r="N118" s="1940">
        <f t="shared" si="80"/>
        <v>9048</v>
      </c>
      <c r="O118" s="1950">
        <f t="shared" si="80"/>
        <v>9048</v>
      </c>
      <c r="P118" s="1950">
        <f t="shared" si="80"/>
        <v>9048</v>
      </c>
      <c r="Q118" s="1951">
        <f t="shared" si="80"/>
        <v>9048</v>
      </c>
      <c r="R118" s="1951">
        <f t="shared" si="80"/>
        <v>9048</v>
      </c>
      <c r="V118" s="1940">
        <f t="shared" ref="V118:W118" si="81">V119+V121</f>
        <v>9048</v>
      </c>
      <c r="W118" s="1940">
        <f t="shared" si="81"/>
        <v>9048</v>
      </c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13.5" hidden="1" thickBot="1" x14ac:dyDescent="0.3">
      <c r="A119" s="1"/>
      <c r="B119" s="58" t="s">
        <v>377</v>
      </c>
      <c r="C119" s="9"/>
      <c r="D119" s="9" t="s">
        <v>15</v>
      </c>
      <c r="E119" s="9" t="s">
        <v>9</v>
      </c>
      <c r="F119" s="9" t="s">
        <v>376</v>
      </c>
      <c r="G119" s="48"/>
      <c r="H119" s="48"/>
      <c r="I119" s="9" t="s">
        <v>9</v>
      </c>
      <c r="J119" s="47">
        <f>J120</f>
        <v>420</v>
      </c>
      <c r="K119" s="209"/>
      <c r="L119" s="47">
        <f t="shared" ref="L119:R119" si="82">L120</f>
        <v>0</v>
      </c>
      <c r="M119" s="47">
        <f t="shared" si="82"/>
        <v>0</v>
      </c>
      <c r="N119" s="1940">
        <f t="shared" si="82"/>
        <v>420</v>
      </c>
      <c r="O119" s="1950">
        <f t="shared" si="82"/>
        <v>420</v>
      </c>
      <c r="P119" s="1950">
        <f t="shared" si="82"/>
        <v>420</v>
      </c>
      <c r="Q119" s="1951">
        <f t="shared" si="82"/>
        <v>420</v>
      </c>
      <c r="R119" s="1951">
        <f t="shared" si="82"/>
        <v>420</v>
      </c>
      <c r="V119" s="1940">
        <f t="shared" ref="V119:W119" si="83">V120</f>
        <v>420</v>
      </c>
      <c r="W119" s="1940">
        <f t="shared" si="83"/>
        <v>420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5" hidden="1" thickBot="1" x14ac:dyDescent="0.35">
      <c r="A120" s="1"/>
      <c r="B120" s="1935" t="s">
        <v>16</v>
      </c>
      <c r="C120" s="9"/>
      <c r="D120" s="9" t="s">
        <v>15</v>
      </c>
      <c r="E120" s="9" t="s">
        <v>9</v>
      </c>
      <c r="F120" s="9" t="s">
        <v>376</v>
      </c>
      <c r="G120" s="9" t="s">
        <v>1</v>
      </c>
      <c r="H120" s="9"/>
      <c r="I120" s="9" t="s">
        <v>9</v>
      </c>
      <c r="J120" s="57">
        <v>420</v>
      </c>
      <c r="K120" s="61"/>
      <c r="L120" s="60"/>
      <c r="M120" s="59"/>
      <c r="N120" s="1952">
        <v>420</v>
      </c>
      <c r="O120" s="1953">
        <v>420</v>
      </c>
      <c r="P120" s="1953">
        <v>420</v>
      </c>
      <c r="Q120" s="1953">
        <v>420</v>
      </c>
      <c r="R120" s="1953">
        <v>420</v>
      </c>
      <c r="V120" s="1952">
        <v>420</v>
      </c>
      <c r="W120" s="1952"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8.75" hidden="1" customHeight="1" x14ac:dyDescent="0.25">
      <c r="A121" s="1"/>
      <c r="B121" s="58" t="s">
        <v>375</v>
      </c>
      <c r="C121" s="9"/>
      <c r="D121" s="9" t="s">
        <v>15</v>
      </c>
      <c r="E121" s="9" t="s">
        <v>9</v>
      </c>
      <c r="F121" s="9" t="s">
        <v>373</v>
      </c>
      <c r="G121" s="48"/>
      <c r="H121" s="48"/>
      <c r="I121" s="9" t="s">
        <v>9</v>
      </c>
      <c r="J121" s="57">
        <f>J122</f>
        <v>8628</v>
      </c>
      <c r="K121" s="47"/>
      <c r="L121" s="57">
        <f t="shared" ref="L121:R121" si="84">L122</f>
        <v>10000</v>
      </c>
      <c r="M121" s="57">
        <f t="shared" si="84"/>
        <v>10000</v>
      </c>
      <c r="N121" s="1952">
        <f t="shared" si="84"/>
        <v>8628</v>
      </c>
      <c r="O121" s="1953">
        <f t="shared" si="84"/>
        <v>8628</v>
      </c>
      <c r="P121" s="1953">
        <f t="shared" si="84"/>
        <v>8628</v>
      </c>
      <c r="Q121" s="1953">
        <f t="shared" si="84"/>
        <v>8628</v>
      </c>
      <c r="R121" s="1953">
        <f t="shared" si="84"/>
        <v>8628</v>
      </c>
      <c r="V121" s="1952">
        <f t="shared" ref="V121:W121" si="85">V122</f>
        <v>8628</v>
      </c>
      <c r="W121" s="1952">
        <f t="shared" si="85"/>
        <v>8628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25.9" hidden="1" customHeight="1" x14ac:dyDescent="0.3">
      <c r="A122" s="1"/>
      <c r="B122" s="1954" t="s">
        <v>374</v>
      </c>
      <c r="C122" s="9"/>
      <c r="D122" s="9" t="s">
        <v>15</v>
      </c>
      <c r="E122" s="9" t="s">
        <v>9</v>
      </c>
      <c r="F122" s="9" t="s">
        <v>373</v>
      </c>
      <c r="G122" s="9" t="s">
        <v>372</v>
      </c>
      <c r="H122" s="9"/>
      <c r="I122" s="9" t="s">
        <v>9</v>
      </c>
      <c r="J122" s="1074">
        <v>8628</v>
      </c>
      <c r="K122" s="207"/>
      <c r="L122" s="54">
        <v>10000</v>
      </c>
      <c r="M122" s="206">
        <v>10000</v>
      </c>
      <c r="N122" s="1955">
        <v>8628</v>
      </c>
      <c r="O122" s="1956">
        <v>8628</v>
      </c>
      <c r="P122" s="1956">
        <v>8628</v>
      </c>
      <c r="Q122" s="1956">
        <v>8628</v>
      </c>
      <c r="R122" s="1956">
        <v>8628</v>
      </c>
      <c r="V122" s="1955">
        <v>8628</v>
      </c>
      <c r="W122" s="1955"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13.5" hidden="1" thickBot="1" x14ac:dyDescent="0.3">
      <c r="A123" s="1"/>
      <c r="B123" s="52" t="s">
        <v>39</v>
      </c>
      <c r="C123" s="34"/>
      <c r="D123" s="34" t="s">
        <v>15</v>
      </c>
      <c r="E123" s="34" t="s">
        <v>13</v>
      </c>
      <c r="F123" s="9"/>
      <c r="G123" s="9"/>
      <c r="H123" s="9"/>
      <c r="I123" s="34" t="s">
        <v>13</v>
      </c>
      <c r="J123" s="1064">
        <f>J124+J131</f>
        <v>1214.55</v>
      </c>
      <c r="K123" s="1065"/>
      <c r="L123" s="1075">
        <f t="shared" ref="L123:R123" si="86">L124+L131</f>
        <v>4085</v>
      </c>
      <c r="M123" s="1065">
        <f t="shared" si="86"/>
        <v>85</v>
      </c>
      <c r="N123" s="1938">
        <f t="shared" si="86"/>
        <v>1214.55</v>
      </c>
      <c r="O123" s="1939">
        <f t="shared" si="86"/>
        <v>1214.55</v>
      </c>
      <c r="P123" s="1939">
        <f t="shared" si="86"/>
        <v>1214.55</v>
      </c>
      <c r="Q123" s="1939">
        <f t="shared" si="86"/>
        <v>1214.55</v>
      </c>
      <c r="R123" s="1939">
        <f t="shared" si="86"/>
        <v>1214.55</v>
      </c>
      <c r="V123" s="1938">
        <f t="shared" ref="V123:W123" si="87">V124+V131</f>
        <v>1214.55</v>
      </c>
      <c r="W123" s="1938">
        <f t="shared" si="87"/>
        <v>1214.55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8.15" hidden="1" customHeight="1" x14ac:dyDescent="0.25">
      <c r="A124" s="1"/>
      <c r="B124" s="132" t="s">
        <v>371</v>
      </c>
      <c r="C124" s="34"/>
      <c r="D124" s="94" t="s">
        <v>15</v>
      </c>
      <c r="E124" s="34" t="s">
        <v>13</v>
      </c>
      <c r="F124" s="34" t="s">
        <v>370</v>
      </c>
      <c r="G124" s="131"/>
      <c r="H124" s="131"/>
      <c r="I124" s="34" t="s">
        <v>13</v>
      </c>
      <c r="J124" s="205">
        <f>J125</f>
        <v>1129.55</v>
      </c>
      <c r="K124" s="51"/>
      <c r="L124" s="205">
        <f t="shared" ref="L124:R125" si="88">L125</f>
        <v>4000</v>
      </c>
      <c r="M124" s="205">
        <f t="shared" si="88"/>
        <v>0</v>
      </c>
      <c r="N124" s="1957">
        <f t="shared" si="88"/>
        <v>1129.55</v>
      </c>
      <c r="O124" s="1958">
        <f t="shared" si="88"/>
        <v>1129.55</v>
      </c>
      <c r="P124" s="1958">
        <f t="shared" si="88"/>
        <v>1129.55</v>
      </c>
      <c r="Q124" s="1959">
        <f t="shared" si="88"/>
        <v>1129.55</v>
      </c>
      <c r="R124" s="1959">
        <f t="shared" si="88"/>
        <v>1129.55</v>
      </c>
      <c r="V124" s="1957">
        <f t="shared" ref="V124:W125" si="89">V125</f>
        <v>1129.55</v>
      </c>
      <c r="W124" s="1957">
        <f t="shared" si="89"/>
        <v>1129.55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78.5" hidden="1" thickBot="1" x14ac:dyDescent="0.3">
      <c r="A125" s="1"/>
      <c r="B125" s="58" t="s">
        <v>761</v>
      </c>
      <c r="C125" s="9"/>
      <c r="D125" s="88" t="s">
        <v>15</v>
      </c>
      <c r="E125" s="9" t="s">
        <v>13</v>
      </c>
      <c r="F125" s="9" t="s">
        <v>367</v>
      </c>
      <c r="G125" s="9"/>
      <c r="H125" s="9"/>
      <c r="I125" s="9" t="s">
        <v>13</v>
      </c>
      <c r="J125" s="1075">
        <f>J126</f>
        <v>1129.55</v>
      </c>
      <c r="K125" s="1075"/>
      <c r="L125" s="1075">
        <f t="shared" si="88"/>
        <v>4000</v>
      </c>
      <c r="M125" s="1065">
        <f t="shared" si="88"/>
        <v>0</v>
      </c>
      <c r="N125" s="1938">
        <f t="shared" si="88"/>
        <v>1129.55</v>
      </c>
      <c r="O125" s="1939">
        <f t="shared" si="88"/>
        <v>1129.55</v>
      </c>
      <c r="P125" s="1939">
        <f t="shared" si="88"/>
        <v>1129.55</v>
      </c>
      <c r="Q125" s="1939">
        <f t="shared" si="88"/>
        <v>1129.55</v>
      </c>
      <c r="R125" s="1939">
        <f t="shared" si="88"/>
        <v>1129.55</v>
      </c>
      <c r="V125" s="1938">
        <f t="shared" si="89"/>
        <v>1129.55</v>
      </c>
      <c r="W125" s="1938">
        <f t="shared" si="89"/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26.5" hidden="1" thickBot="1" x14ac:dyDescent="0.3">
      <c r="A126" s="1"/>
      <c r="B126" s="58" t="s">
        <v>368</v>
      </c>
      <c r="C126" s="9"/>
      <c r="D126" s="88" t="s">
        <v>15</v>
      </c>
      <c r="E126" s="9" t="s">
        <v>13</v>
      </c>
      <c r="F126" s="9" t="s">
        <v>367</v>
      </c>
      <c r="G126" s="9" t="s">
        <v>366</v>
      </c>
      <c r="H126" s="9"/>
      <c r="I126" s="9" t="s">
        <v>13</v>
      </c>
      <c r="J126" s="1066">
        <v>1129.55</v>
      </c>
      <c r="K126" s="1075"/>
      <c r="L126" s="1066">
        <v>4000</v>
      </c>
      <c r="M126" s="1065"/>
      <c r="N126" s="1940">
        <v>1129.55</v>
      </c>
      <c r="O126" s="1941">
        <v>1129.55</v>
      </c>
      <c r="P126" s="1941">
        <v>1129.55</v>
      </c>
      <c r="Q126" s="1941">
        <v>1129.55</v>
      </c>
      <c r="R126" s="1941">
        <v>1129.55</v>
      </c>
      <c r="V126" s="1940">
        <v>1129.55</v>
      </c>
      <c r="W126" s="1940"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52.5" hidden="1" thickBot="1" x14ac:dyDescent="0.3">
      <c r="A127" s="1"/>
      <c r="B127" s="58" t="s">
        <v>192</v>
      </c>
      <c r="C127" s="9"/>
      <c r="D127" s="88" t="s">
        <v>15</v>
      </c>
      <c r="E127" s="9" t="s">
        <v>13</v>
      </c>
      <c r="F127" s="9" t="s">
        <v>365</v>
      </c>
      <c r="G127" s="9"/>
      <c r="H127" s="9"/>
      <c r="I127" s="9" t="s">
        <v>13</v>
      </c>
      <c r="J127" s="1065"/>
      <c r="K127" s="1065"/>
      <c r="L127" s="1065"/>
      <c r="M127" s="1065"/>
      <c r="N127" s="1938"/>
      <c r="O127" s="1939"/>
      <c r="P127" s="1939"/>
      <c r="Q127" s="1939"/>
      <c r="R127" s="1939"/>
      <c r="V127" s="1938"/>
      <c r="W127" s="1938"/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2.75" hidden="1" customHeight="1" x14ac:dyDescent="0.25">
      <c r="A128" s="1"/>
      <c r="B128" s="132" t="s">
        <v>165</v>
      </c>
      <c r="C128" s="34"/>
      <c r="D128" s="94" t="s">
        <v>15</v>
      </c>
      <c r="E128" s="34" t="s">
        <v>13</v>
      </c>
      <c r="F128" s="34" t="s">
        <v>164</v>
      </c>
      <c r="G128" s="131"/>
      <c r="H128" s="131"/>
      <c r="I128" s="34" t="s">
        <v>13</v>
      </c>
      <c r="J128" s="131"/>
      <c r="K128" s="130"/>
      <c r="L128" s="1"/>
      <c r="M128" s="13"/>
      <c r="N128" s="1938"/>
      <c r="O128" s="1944"/>
      <c r="P128" s="1944"/>
      <c r="Q128" s="1945"/>
      <c r="R128" s="1945"/>
      <c r="V128" s="1938"/>
      <c r="W128" s="1938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72.75" hidden="1" customHeight="1" x14ac:dyDescent="0.25">
      <c r="A129" s="1"/>
      <c r="B129" s="49" t="s">
        <v>163</v>
      </c>
      <c r="C129" s="9"/>
      <c r="D129" s="88" t="s">
        <v>15</v>
      </c>
      <c r="E129" s="9" t="s">
        <v>13</v>
      </c>
      <c r="F129" s="9" t="s">
        <v>162</v>
      </c>
      <c r="G129" s="9"/>
      <c r="H129" s="9"/>
      <c r="I129" s="9" t="s">
        <v>13</v>
      </c>
      <c r="J129" s="1065"/>
      <c r="K129" s="1065"/>
      <c r="L129" s="1065"/>
      <c r="M129" s="1065"/>
      <c r="N129" s="1938"/>
      <c r="O129" s="1939"/>
      <c r="P129" s="1939"/>
      <c r="Q129" s="1939"/>
      <c r="R129" s="1939"/>
      <c r="V129" s="1938"/>
      <c r="W129" s="1938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57" hidden="1" customHeight="1" x14ac:dyDescent="0.25">
      <c r="A130" s="1"/>
      <c r="B130" s="58" t="s">
        <v>161</v>
      </c>
      <c r="C130" s="34"/>
      <c r="D130" s="88" t="s">
        <v>15</v>
      </c>
      <c r="E130" s="9" t="s">
        <v>13</v>
      </c>
      <c r="F130" s="9" t="s">
        <v>160</v>
      </c>
      <c r="G130" s="9"/>
      <c r="H130" s="9"/>
      <c r="I130" s="9" t="s">
        <v>13</v>
      </c>
      <c r="J130" s="1065"/>
      <c r="K130" s="1065"/>
      <c r="L130" s="1065"/>
      <c r="M130" s="1065"/>
      <c r="N130" s="1938"/>
      <c r="O130" s="1939"/>
      <c r="P130" s="1939"/>
      <c r="Q130" s="1939"/>
      <c r="R130" s="1939"/>
      <c r="V130" s="1938"/>
      <c r="W130" s="1938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39.65" hidden="1" customHeight="1" x14ac:dyDescent="0.25">
      <c r="A131" s="1"/>
      <c r="B131" s="52" t="s">
        <v>25</v>
      </c>
      <c r="C131" s="9"/>
      <c r="D131" s="34" t="s">
        <v>15</v>
      </c>
      <c r="E131" s="34" t="s">
        <v>13</v>
      </c>
      <c r="F131" s="34" t="s">
        <v>24</v>
      </c>
      <c r="G131" s="48"/>
      <c r="H131" s="48"/>
      <c r="I131" s="34" t="s">
        <v>13</v>
      </c>
      <c r="J131" s="51">
        <f>J132</f>
        <v>85</v>
      </c>
      <c r="K131" s="51"/>
      <c r="L131" s="51">
        <f t="shared" ref="L131:R131" si="90">L132</f>
        <v>85</v>
      </c>
      <c r="M131" s="51">
        <f t="shared" si="90"/>
        <v>85</v>
      </c>
      <c r="N131" s="1938">
        <f t="shared" si="90"/>
        <v>85</v>
      </c>
      <c r="O131" s="1944">
        <f t="shared" si="90"/>
        <v>85</v>
      </c>
      <c r="P131" s="1944">
        <f t="shared" si="90"/>
        <v>85</v>
      </c>
      <c r="Q131" s="1945">
        <f t="shared" si="90"/>
        <v>85</v>
      </c>
      <c r="R131" s="1945">
        <f t="shared" si="90"/>
        <v>85</v>
      </c>
      <c r="V131" s="1938">
        <f t="shared" ref="V131:W131" si="91">V132</f>
        <v>85</v>
      </c>
      <c r="W131" s="1938">
        <f t="shared" si="91"/>
        <v>85</v>
      </c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43.5" hidden="1" customHeight="1" x14ac:dyDescent="0.25">
      <c r="A132" s="1"/>
      <c r="B132" s="49" t="s">
        <v>23</v>
      </c>
      <c r="C132" s="9"/>
      <c r="D132" s="9" t="s">
        <v>15</v>
      </c>
      <c r="E132" s="9" t="s">
        <v>13</v>
      </c>
      <c r="F132" s="9" t="s">
        <v>14</v>
      </c>
      <c r="G132" s="48"/>
      <c r="H132" s="48"/>
      <c r="I132" s="9" t="s">
        <v>13</v>
      </c>
      <c r="J132" s="47">
        <f>J135</f>
        <v>85</v>
      </c>
      <c r="K132" s="47"/>
      <c r="L132" s="47">
        <f t="shared" ref="L132:R132" si="92">L135</f>
        <v>85</v>
      </c>
      <c r="M132" s="47">
        <f t="shared" si="92"/>
        <v>85</v>
      </c>
      <c r="N132" s="1940">
        <f t="shared" si="92"/>
        <v>85</v>
      </c>
      <c r="O132" s="1950">
        <f t="shared" si="92"/>
        <v>85</v>
      </c>
      <c r="P132" s="1950">
        <f t="shared" si="92"/>
        <v>85</v>
      </c>
      <c r="Q132" s="1951">
        <f t="shared" si="92"/>
        <v>85</v>
      </c>
      <c r="R132" s="1951">
        <f t="shared" si="92"/>
        <v>85</v>
      </c>
      <c r="V132" s="1940">
        <f t="shared" ref="V132:W132" si="93">V135</f>
        <v>85</v>
      </c>
      <c r="W132" s="1940">
        <f t="shared" si="93"/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60.75" hidden="1" customHeight="1" x14ac:dyDescent="0.25">
      <c r="A133" s="1"/>
      <c r="B133" s="42" t="s">
        <v>22</v>
      </c>
      <c r="C133" s="31"/>
      <c r="D133" s="31" t="s">
        <v>15</v>
      </c>
      <c r="E133" s="31" t="s">
        <v>13</v>
      </c>
      <c r="F133" s="31" t="s">
        <v>21</v>
      </c>
      <c r="G133" s="2719" t="s">
        <v>20</v>
      </c>
      <c r="H133" s="2720"/>
      <c r="I133" s="2720"/>
      <c r="J133" s="2721"/>
      <c r="K133" s="41"/>
      <c r="L133" s="1"/>
      <c r="M133" s="1"/>
      <c r="N133" s="1905"/>
      <c r="O133" s="1921"/>
      <c r="P133" s="1921"/>
      <c r="Q133" s="1922"/>
      <c r="R133" s="1922"/>
      <c r="V133" s="1905"/>
      <c r="W133" s="1905"/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48" hidden="1" customHeight="1" x14ac:dyDescent="0.25">
      <c r="A134" s="1"/>
      <c r="B134" s="42" t="s">
        <v>19</v>
      </c>
      <c r="C134" s="31"/>
      <c r="D134" s="31" t="s">
        <v>15</v>
      </c>
      <c r="E134" s="31" t="s">
        <v>13</v>
      </c>
      <c r="F134" s="31" t="s">
        <v>18</v>
      </c>
      <c r="G134" s="2713" t="s">
        <v>17</v>
      </c>
      <c r="H134" s="2714"/>
      <c r="I134" s="2714"/>
      <c r="J134" s="2715"/>
      <c r="K134" s="41"/>
      <c r="L134" s="1"/>
      <c r="M134" s="1"/>
      <c r="N134" s="1905"/>
      <c r="O134" s="1921"/>
      <c r="P134" s="1921"/>
      <c r="Q134" s="1922"/>
      <c r="R134" s="1922"/>
      <c r="V134" s="1905"/>
      <c r="W134" s="1905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16.899999999999999" hidden="1" customHeight="1" x14ac:dyDescent="0.3">
      <c r="A135" s="1"/>
      <c r="B135" s="1935" t="s">
        <v>16</v>
      </c>
      <c r="C135" s="31"/>
      <c r="D135" s="9" t="s">
        <v>15</v>
      </c>
      <c r="E135" s="9" t="s">
        <v>13</v>
      </c>
      <c r="F135" s="9" t="s">
        <v>14</v>
      </c>
      <c r="G135" s="33" t="s">
        <v>1</v>
      </c>
      <c r="H135" s="33"/>
      <c r="I135" s="9" t="s">
        <v>13</v>
      </c>
      <c r="J135" s="28">
        <v>85</v>
      </c>
      <c r="K135" s="30"/>
      <c r="L135" s="29">
        <v>85</v>
      </c>
      <c r="M135" s="28">
        <v>85</v>
      </c>
      <c r="N135" s="1960">
        <v>85</v>
      </c>
      <c r="O135" s="1961">
        <v>85</v>
      </c>
      <c r="P135" s="1961">
        <v>85</v>
      </c>
      <c r="Q135" s="1961">
        <v>85</v>
      </c>
      <c r="R135" s="1961">
        <v>85</v>
      </c>
      <c r="V135" s="1960">
        <v>85</v>
      </c>
      <c r="W135" s="1960">
        <v>85</v>
      </c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20.25" hidden="1" customHeight="1" x14ac:dyDescent="0.25">
      <c r="A136" s="1"/>
      <c r="B136" s="52" t="s">
        <v>34</v>
      </c>
      <c r="C136" s="9"/>
      <c r="D136" s="34" t="s">
        <v>15</v>
      </c>
      <c r="E136" s="34" t="s">
        <v>32</v>
      </c>
      <c r="F136" s="9"/>
      <c r="G136" s="9"/>
      <c r="H136" s="9"/>
      <c r="I136" s="34" t="s">
        <v>32</v>
      </c>
      <c r="J136" s="1076">
        <f>J137+J140</f>
        <v>11758.768999999998</v>
      </c>
      <c r="K136" s="1065"/>
      <c r="L136" s="1076">
        <f t="shared" ref="L136:R136" si="94">L137+L140</f>
        <v>13625.55</v>
      </c>
      <c r="M136" s="1076">
        <f t="shared" si="94"/>
        <v>15979.505000000001</v>
      </c>
      <c r="N136" s="1938">
        <f t="shared" si="94"/>
        <v>11758.768999999998</v>
      </c>
      <c r="O136" s="1962">
        <f t="shared" si="94"/>
        <v>11758.768999999998</v>
      </c>
      <c r="P136" s="1962">
        <f t="shared" si="94"/>
        <v>11758.768999999998</v>
      </c>
      <c r="Q136" s="1939">
        <f t="shared" si="94"/>
        <v>11758.768999999998</v>
      </c>
      <c r="R136" s="1939">
        <f t="shared" si="94"/>
        <v>11758.768999999998</v>
      </c>
      <c r="V136" s="1938">
        <f t="shared" ref="V136:W136" si="95">V137+V140</f>
        <v>11758.768999999998</v>
      </c>
      <c r="W136" s="1938">
        <f t="shared" si="95"/>
        <v>11758.768999999998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55.15" hidden="1" customHeight="1" x14ac:dyDescent="0.25">
      <c r="A137" s="1"/>
      <c r="B137" s="134" t="s">
        <v>364</v>
      </c>
      <c r="C137" s="34"/>
      <c r="D137" s="94" t="s">
        <v>15</v>
      </c>
      <c r="E137" s="34" t="s">
        <v>32</v>
      </c>
      <c r="F137" s="34" t="s">
        <v>363</v>
      </c>
      <c r="G137" s="131"/>
      <c r="H137" s="131"/>
      <c r="I137" s="34" t="s">
        <v>32</v>
      </c>
      <c r="J137" s="51">
        <f>J138</f>
        <v>2275.0059999999999</v>
      </c>
      <c r="K137" s="51"/>
      <c r="L137" s="51">
        <f t="shared" ref="L137:R138" si="96">L138</f>
        <v>6008.35</v>
      </c>
      <c r="M137" s="51">
        <f t="shared" si="96"/>
        <v>8515.7049999999999</v>
      </c>
      <c r="N137" s="1938">
        <f t="shared" si="96"/>
        <v>2275.0059999999999</v>
      </c>
      <c r="O137" s="1944">
        <f t="shared" si="96"/>
        <v>2275.0059999999999</v>
      </c>
      <c r="P137" s="1944">
        <f t="shared" si="96"/>
        <v>2275.0059999999999</v>
      </c>
      <c r="Q137" s="1945">
        <f t="shared" si="96"/>
        <v>2275.0059999999999</v>
      </c>
      <c r="R137" s="1945">
        <f t="shared" si="96"/>
        <v>2275.0059999999999</v>
      </c>
      <c r="V137" s="1938">
        <f t="shared" ref="V137:W138" si="97">V138</f>
        <v>2275.0059999999999</v>
      </c>
      <c r="W137" s="1938">
        <f t="shared" si="97"/>
        <v>2275.0059999999999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70.150000000000006" hidden="1" customHeight="1" x14ac:dyDescent="0.25">
      <c r="A138" s="1"/>
      <c r="B138" s="58" t="s">
        <v>762</v>
      </c>
      <c r="C138" s="9"/>
      <c r="D138" s="88" t="s">
        <v>15</v>
      </c>
      <c r="E138" s="9" t="s">
        <v>32</v>
      </c>
      <c r="F138" s="9" t="s">
        <v>361</v>
      </c>
      <c r="G138" s="9"/>
      <c r="H138" s="9"/>
      <c r="I138" s="9" t="s">
        <v>32</v>
      </c>
      <c r="J138" s="1064">
        <f>J139</f>
        <v>2275.0059999999999</v>
      </c>
      <c r="K138" s="1065"/>
      <c r="L138" s="1064">
        <f t="shared" si="96"/>
        <v>6008.35</v>
      </c>
      <c r="M138" s="1064">
        <f t="shared" si="96"/>
        <v>8515.7049999999999</v>
      </c>
      <c r="N138" s="1938">
        <f t="shared" si="96"/>
        <v>2275.0059999999999</v>
      </c>
      <c r="O138" s="1939">
        <f t="shared" si="96"/>
        <v>2275.0059999999999</v>
      </c>
      <c r="P138" s="1939">
        <f t="shared" si="96"/>
        <v>2275.0059999999999</v>
      </c>
      <c r="Q138" s="1939">
        <f t="shared" si="96"/>
        <v>2275.0059999999999</v>
      </c>
      <c r="R138" s="1939">
        <f t="shared" si="96"/>
        <v>2275.0059999999999</v>
      </c>
      <c r="V138" s="1938">
        <f t="shared" si="97"/>
        <v>2275.0059999999999</v>
      </c>
      <c r="W138" s="1938">
        <f t="shared" si="97"/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2.65" hidden="1" customHeight="1" x14ac:dyDescent="0.3">
      <c r="A139" s="1"/>
      <c r="B139" s="1935" t="s">
        <v>16</v>
      </c>
      <c r="C139" s="9"/>
      <c r="D139" s="88" t="s">
        <v>15</v>
      </c>
      <c r="E139" s="9" t="s">
        <v>32</v>
      </c>
      <c r="F139" s="9" t="s">
        <v>361</v>
      </c>
      <c r="G139" s="9" t="s">
        <v>1</v>
      </c>
      <c r="H139" s="9"/>
      <c r="I139" s="9" t="s">
        <v>32</v>
      </c>
      <c r="J139" s="1064">
        <v>2275.0059999999999</v>
      </c>
      <c r="K139" s="1065"/>
      <c r="L139" s="1064">
        <v>6008.35</v>
      </c>
      <c r="M139" s="1064">
        <v>8515.7049999999999</v>
      </c>
      <c r="N139" s="1938">
        <v>2275.0059999999999</v>
      </c>
      <c r="O139" s="1939">
        <v>2275.0059999999999</v>
      </c>
      <c r="P139" s="1939">
        <v>2275.0059999999999</v>
      </c>
      <c r="Q139" s="1939">
        <v>2275.0059999999999</v>
      </c>
      <c r="R139" s="1939">
        <v>2275.0059999999999</v>
      </c>
      <c r="V139" s="1938">
        <v>2275.0059999999999</v>
      </c>
      <c r="W139" s="1938"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56.5" hidden="1" customHeight="1" x14ac:dyDescent="0.25">
      <c r="A140" s="1"/>
      <c r="B140" s="132" t="s">
        <v>360</v>
      </c>
      <c r="C140" s="9"/>
      <c r="D140" s="34" t="s">
        <v>15</v>
      </c>
      <c r="E140" s="34" t="s">
        <v>32</v>
      </c>
      <c r="F140" s="34" t="s">
        <v>359</v>
      </c>
      <c r="G140" s="131"/>
      <c r="H140" s="131"/>
      <c r="I140" s="34" t="s">
        <v>32</v>
      </c>
      <c r="J140" s="51">
        <f>J141+J143</f>
        <v>9483.762999999999</v>
      </c>
      <c r="K140" s="131"/>
      <c r="L140" s="51">
        <f t="shared" ref="L140:R140" si="98">L141+L143</f>
        <v>7617.2</v>
      </c>
      <c r="M140" s="1076">
        <f t="shared" si="98"/>
        <v>7463.8</v>
      </c>
      <c r="N140" s="1938">
        <f t="shared" si="98"/>
        <v>9483.762999999999</v>
      </c>
      <c r="O140" s="1944">
        <f t="shared" si="98"/>
        <v>9483.762999999999</v>
      </c>
      <c r="P140" s="1944">
        <f t="shared" si="98"/>
        <v>9483.762999999999</v>
      </c>
      <c r="Q140" s="1945">
        <f t="shared" si="98"/>
        <v>9483.762999999999</v>
      </c>
      <c r="R140" s="1945">
        <f t="shared" si="98"/>
        <v>9483.762999999999</v>
      </c>
      <c r="V140" s="1938">
        <f t="shared" ref="V140:W140" si="99">V141+V143</f>
        <v>9483.762999999999</v>
      </c>
      <c r="W140" s="1938">
        <f t="shared" si="99"/>
        <v>9483.762999999999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78.5" hidden="1" thickBot="1" x14ac:dyDescent="0.3">
      <c r="A141" s="1"/>
      <c r="B141" s="49" t="s">
        <v>763</v>
      </c>
      <c r="C141" s="9"/>
      <c r="D141" s="34" t="s">
        <v>15</v>
      </c>
      <c r="E141" s="34" t="s">
        <v>32</v>
      </c>
      <c r="F141" s="9" t="s">
        <v>357</v>
      </c>
      <c r="G141" s="9"/>
      <c r="H141" s="9"/>
      <c r="I141" s="34" t="s">
        <v>32</v>
      </c>
      <c r="J141" s="1064">
        <f>J142</f>
        <v>5353.7750000000005</v>
      </c>
      <c r="K141" s="1065"/>
      <c r="L141" s="1065">
        <f t="shared" ref="L141:R141" si="100">L142</f>
        <v>5406.2</v>
      </c>
      <c r="M141" s="1065">
        <f t="shared" si="100"/>
        <v>5230.3</v>
      </c>
      <c r="N141" s="1938">
        <f t="shared" si="100"/>
        <v>5353.7750000000005</v>
      </c>
      <c r="O141" s="1939">
        <f t="shared" si="100"/>
        <v>5353.7750000000005</v>
      </c>
      <c r="P141" s="1939">
        <f t="shared" si="100"/>
        <v>5353.7750000000005</v>
      </c>
      <c r="Q141" s="1939">
        <f t="shared" si="100"/>
        <v>5353.7750000000005</v>
      </c>
      <c r="R141" s="1939">
        <f t="shared" si="100"/>
        <v>5353.7750000000005</v>
      </c>
      <c r="V141" s="1938">
        <f t="shared" ref="V141:W141" si="101">V142</f>
        <v>5353.7750000000005</v>
      </c>
      <c r="W141" s="1938">
        <f t="shared" si="101"/>
        <v>5353.7750000000005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13.5" hidden="1" thickBot="1" x14ac:dyDescent="0.35">
      <c r="A142" s="1"/>
      <c r="B142" s="1935" t="s">
        <v>16</v>
      </c>
      <c r="C142" s="9"/>
      <c r="D142" s="9" t="s">
        <v>15</v>
      </c>
      <c r="E142" s="9" t="s">
        <v>32</v>
      </c>
      <c r="F142" s="9" t="s">
        <v>357</v>
      </c>
      <c r="G142" s="9" t="s">
        <v>1</v>
      </c>
      <c r="H142" s="9"/>
      <c r="I142" s="9" t="s">
        <v>32</v>
      </c>
      <c r="J142" s="1061">
        <f>5356.1-4835.3+2500.3+2332.675</f>
        <v>5353.7750000000005</v>
      </c>
      <c r="K142" s="1065"/>
      <c r="L142" s="1061">
        <v>5406.2</v>
      </c>
      <c r="M142" s="1061">
        <v>5230.3</v>
      </c>
      <c r="N142" s="1940">
        <f>5356.1-4835.3+2500.3+2332.675</f>
        <v>5353.7750000000005</v>
      </c>
      <c r="O142" s="1941">
        <f>5356.1-4835.3+2500.3+2332.675</f>
        <v>5353.7750000000005</v>
      </c>
      <c r="P142" s="1941">
        <f>5356.1-4835.3+2500.3+2332.675</f>
        <v>5353.7750000000005</v>
      </c>
      <c r="Q142" s="1941">
        <f>5356.1-4835.3+2500.3+2332.675</f>
        <v>5353.7750000000005</v>
      </c>
      <c r="R142" s="1941">
        <f>5356.1-4835.3+2500.3+2332.675</f>
        <v>5353.7750000000005</v>
      </c>
      <c r="V142" s="1940">
        <f>5356.1-4835.3+2500.3+2332.675</f>
        <v>5353.7750000000005</v>
      </c>
      <c r="W142" s="1940">
        <f>5356.1-4835.3+2500.3+2332.675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79.150000000000006" hidden="1" customHeight="1" x14ac:dyDescent="0.25">
      <c r="A143" s="1"/>
      <c r="B143" s="49" t="s">
        <v>764</v>
      </c>
      <c r="C143" s="9"/>
      <c r="D143" s="34" t="s">
        <v>15</v>
      </c>
      <c r="E143" s="34" t="s">
        <v>32</v>
      </c>
      <c r="F143" s="9" t="s">
        <v>355</v>
      </c>
      <c r="G143" s="9"/>
      <c r="H143" s="9"/>
      <c r="I143" s="34" t="s">
        <v>32</v>
      </c>
      <c r="J143" s="1064">
        <f>J144</f>
        <v>4129.9879999999994</v>
      </c>
      <c r="K143" s="1064"/>
      <c r="L143" s="1064">
        <f t="shared" ref="L143:R143" si="102">L144</f>
        <v>2211</v>
      </c>
      <c r="M143" s="1064">
        <f t="shared" si="102"/>
        <v>2233.5</v>
      </c>
      <c r="N143" s="1938">
        <f t="shared" si="102"/>
        <v>4129.9879999999994</v>
      </c>
      <c r="O143" s="1939">
        <f t="shared" si="102"/>
        <v>4129.9879999999994</v>
      </c>
      <c r="P143" s="1939">
        <f t="shared" si="102"/>
        <v>4129.9879999999994</v>
      </c>
      <c r="Q143" s="1939">
        <f t="shared" si="102"/>
        <v>4129.9879999999994</v>
      </c>
      <c r="R143" s="1939">
        <f t="shared" si="102"/>
        <v>4129.9879999999994</v>
      </c>
      <c r="V143" s="1938">
        <f t="shared" ref="V143:W143" si="103">V144</f>
        <v>4129.9879999999994</v>
      </c>
      <c r="W143" s="1938">
        <f t="shared" si="103"/>
        <v>4129.9879999999994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8.649999999999999" hidden="1" customHeight="1" x14ac:dyDescent="0.3">
      <c r="A144" s="1"/>
      <c r="B144" s="1935" t="s">
        <v>16</v>
      </c>
      <c r="C144" s="9"/>
      <c r="D144" s="9" t="s">
        <v>15</v>
      </c>
      <c r="E144" s="9" t="s">
        <v>32</v>
      </c>
      <c r="F144" s="9" t="s">
        <v>355</v>
      </c>
      <c r="G144" s="9" t="s">
        <v>1</v>
      </c>
      <c r="H144" s="9"/>
      <c r="I144" s="9" t="s">
        <v>32</v>
      </c>
      <c r="J144" s="1064">
        <f>2142.2+1447.788+540</f>
        <v>4129.9879999999994</v>
      </c>
      <c r="K144" s="1064"/>
      <c r="L144" s="1064">
        <v>2211</v>
      </c>
      <c r="M144" s="1064">
        <v>2233.5</v>
      </c>
      <c r="N144" s="1938">
        <f>2142.2+1447.788+540</f>
        <v>4129.9879999999994</v>
      </c>
      <c r="O144" s="1939">
        <f>2142.2+1447.788+540</f>
        <v>4129.9879999999994</v>
      </c>
      <c r="P144" s="1939">
        <f>2142.2+1447.788+540</f>
        <v>4129.9879999999994</v>
      </c>
      <c r="Q144" s="1939">
        <f>2142.2+1447.788+540</f>
        <v>4129.9879999999994</v>
      </c>
      <c r="R144" s="1939">
        <f>2142.2+1447.788+540</f>
        <v>4129.9879999999994</v>
      </c>
      <c r="V144" s="1938">
        <f>2142.2+1447.788+540</f>
        <v>4129.9879999999994</v>
      </c>
      <c r="W144" s="1938">
        <f>2142.2+1447.788+540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9.5" hidden="1" customHeight="1" x14ac:dyDescent="0.25">
      <c r="A145" s="1"/>
      <c r="B145" s="52" t="s">
        <v>354</v>
      </c>
      <c r="C145" s="9"/>
      <c r="D145" s="34" t="s">
        <v>15</v>
      </c>
      <c r="E145" s="34" t="s">
        <v>349</v>
      </c>
      <c r="F145" s="9"/>
      <c r="G145" s="9"/>
      <c r="H145" s="9"/>
      <c r="I145" s="34" t="s">
        <v>349</v>
      </c>
      <c r="J145" s="1065">
        <f>J146</f>
        <v>0</v>
      </c>
      <c r="K145" s="1065"/>
      <c r="L145" s="1065">
        <f t="shared" ref="L145:R148" si="104">L146</f>
        <v>0</v>
      </c>
      <c r="M145" s="1065">
        <f t="shared" si="104"/>
        <v>0</v>
      </c>
      <c r="N145" s="1938">
        <f t="shared" si="104"/>
        <v>0</v>
      </c>
      <c r="O145" s="1939">
        <f t="shared" si="104"/>
        <v>0</v>
      </c>
      <c r="P145" s="1939">
        <f t="shared" si="104"/>
        <v>0</v>
      </c>
      <c r="Q145" s="1939">
        <f t="shared" si="104"/>
        <v>0</v>
      </c>
      <c r="R145" s="1939">
        <f t="shared" si="104"/>
        <v>0</v>
      </c>
      <c r="V145" s="1938">
        <f t="shared" ref="V145:W148" si="105">V146</f>
        <v>0</v>
      </c>
      <c r="W145" s="1938">
        <f t="shared" si="105"/>
        <v>0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39.5" hidden="1" thickBot="1" x14ac:dyDescent="0.3">
      <c r="A146" s="1"/>
      <c r="B146" s="52" t="s">
        <v>25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si="104"/>
        <v>0</v>
      </c>
      <c r="M146" s="1065">
        <f t="shared" si="104"/>
        <v>0</v>
      </c>
      <c r="N146" s="1938">
        <f t="shared" si="104"/>
        <v>0</v>
      </c>
      <c r="O146" s="1939">
        <f t="shared" si="104"/>
        <v>0</v>
      </c>
      <c r="P146" s="1939">
        <f t="shared" si="104"/>
        <v>0</v>
      </c>
      <c r="Q146" s="1939">
        <f t="shared" si="104"/>
        <v>0</v>
      </c>
      <c r="R146" s="1939">
        <f t="shared" si="104"/>
        <v>0</v>
      </c>
      <c r="V146" s="1938">
        <f t="shared" si="105"/>
        <v>0</v>
      </c>
      <c r="W146" s="1938">
        <f t="shared" si="10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0.75" hidden="1" customHeight="1" x14ac:dyDescent="0.25">
      <c r="A147" s="1"/>
      <c r="B147" s="52" t="s">
        <v>353</v>
      </c>
      <c r="C147" s="9"/>
      <c r="D147" s="34" t="s">
        <v>15</v>
      </c>
      <c r="E147" s="34" t="s">
        <v>349</v>
      </c>
      <c r="F147" s="9" t="s">
        <v>352</v>
      </c>
      <c r="G147" s="48"/>
      <c r="H147" s="48"/>
      <c r="I147" s="34" t="s">
        <v>349</v>
      </c>
      <c r="J147" s="1077">
        <f>J148</f>
        <v>0</v>
      </c>
      <c r="K147" s="1077"/>
      <c r="L147" s="1077">
        <f t="shared" si="104"/>
        <v>0</v>
      </c>
      <c r="M147" s="1077">
        <f t="shared" si="104"/>
        <v>0</v>
      </c>
      <c r="N147" s="1940">
        <f t="shared" si="104"/>
        <v>0</v>
      </c>
      <c r="O147" s="1963">
        <f t="shared" si="104"/>
        <v>0</v>
      </c>
      <c r="P147" s="1963">
        <f t="shared" si="104"/>
        <v>0</v>
      </c>
      <c r="Q147" s="1941">
        <f t="shared" si="104"/>
        <v>0</v>
      </c>
      <c r="R147" s="1941">
        <f t="shared" si="104"/>
        <v>0</v>
      </c>
      <c r="V147" s="1940">
        <f t="shared" si="105"/>
        <v>0</v>
      </c>
      <c r="W147" s="1940">
        <f t="shared" si="10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13.5" hidden="1" thickBot="1" x14ac:dyDescent="0.3">
      <c r="A148" s="1"/>
      <c r="B148" s="76" t="s">
        <v>351</v>
      </c>
      <c r="C148" s="9"/>
      <c r="D148" s="34" t="s">
        <v>15</v>
      </c>
      <c r="E148" s="34" t="s">
        <v>349</v>
      </c>
      <c r="F148" s="9" t="s">
        <v>350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104"/>
        <v>0</v>
      </c>
      <c r="M148" s="1077">
        <f t="shared" si="104"/>
        <v>0</v>
      </c>
      <c r="N148" s="1940">
        <f t="shared" si="104"/>
        <v>0</v>
      </c>
      <c r="O148" s="1963">
        <f t="shared" si="104"/>
        <v>0</v>
      </c>
      <c r="P148" s="1963">
        <f t="shared" si="104"/>
        <v>0</v>
      </c>
      <c r="Q148" s="1941">
        <f t="shared" si="104"/>
        <v>0</v>
      </c>
      <c r="R148" s="1941">
        <f t="shared" si="104"/>
        <v>0</v>
      </c>
      <c r="V148" s="1940">
        <f t="shared" si="105"/>
        <v>0</v>
      </c>
      <c r="W148" s="1940">
        <f t="shared" si="10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3">
      <c r="A149" s="1"/>
      <c r="B149" s="76"/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/>
      <c r="K149" s="1077"/>
      <c r="L149" s="1077"/>
      <c r="M149" s="1077"/>
      <c r="N149" s="1940"/>
      <c r="O149" s="1963"/>
      <c r="P149" s="1963"/>
      <c r="Q149" s="1941"/>
      <c r="R149" s="1941"/>
      <c r="V149" s="1940"/>
      <c r="W149" s="1940"/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4.5" hidden="1" thickBot="1" x14ac:dyDescent="0.3">
      <c r="A150" s="1"/>
      <c r="B150" s="203" t="s">
        <v>348</v>
      </c>
      <c r="C150" s="202"/>
      <c r="D150" s="202" t="s">
        <v>265</v>
      </c>
      <c r="E150" s="199"/>
      <c r="F150" s="201"/>
      <c r="G150" s="200"/>
      <c r="H150" s="484"/>
      <c r="I150" s="199"/>
      <c r="J150" s="1057">
        <f>J151</f>
        <v>160</v>
      </c>
      <c r="K150" s="1057"/>
      <c r="L150" s="1057">
        <f t="shared" ref="L150:R152" si="106">L151</f>
        <v>172</v>
      </c>
      <c r="M150" s="1057">
        <f t="shared" si="106"/>
        <v>184</v>
      </c>
      <c r="N150" s="1931">
        <f t="shared" si="106"/>
        <v>160</v>
      </c>
      <c r="O150" s="1932">
        <f t="shared" si="106"/>
        <v>160</v>
      </c>
      <c r="P150" s="1932">
        <f t="shared" si="106"/>
        <v>160</v>
      </c>
      <c r="Q150" s="1932">
        <f t="shared" si="106"/>
        <v>160</v>
      </c>
      <c r="R150" s="1932">
        <f t="shared" si="106"/>
        <v>160</v>
      </c>
      <c r="V150" s="1931">
        <f t="shared" ref="V150:W152" si="107">V151</f>
        <v>160</v>
      </c>
      <c r="W150" s="1931">
        <f t="shared" si="107"/>
        <v>160</v>
      </c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3.5" hidden="1" thickBot="1" x14ac:dyDescent="0.3">
      <c r="A151" s="1"/>
      <c r="B151" s="52" t="s">
        <v>264</v>
      </c>
      <c r="C151" s="34"/>
      <c r="D151" s="34" t="s">
        <v>265</v>
      </c>
      <c r="E151" s="34" t="s">
        <v>262</v>
      </c>
      <c r="F151" s="1"/>
      <c r="G151" s="9"/>
      <c r="H151" s="9"/>
      <c r="I151" s="34" t="s">
        <v>262</v>
      </c>
      <c r="J151" s="1062">
        <f>J152</f>
        <v>160</v>
      </c>
      <c r="K151" s="1062"/>
      <c r="L151" s="1062">
        <f t="shared" si="106"/>
        <v>172</v>
      </c>
      <c r="M151" s="1062">
        <f t="shared" si="106"/>
        <v>184</v>
      </c>
      <c r="N151" s="1936">
        <f t="shared" si="106"/>
        <v>160</v>
      </c>
      <c r="O151" s="1937">
        <f t="shared" si="106"/>
        <v>160</v>
      </c>
      <c r="P151" s="1937">
        <f t="shared" si="106"/>
        <v>160</v>
      </c>
      <c r="Q151" s="1937">
        <f t="shared" si="106"/>
        <v>160</v>
      </c>
      <c r="R151" s="1937">
        <f t="shared" si="106"/>
        <v>160</v>
      </c>
      <c r="V151" s="1936">
        <f t="shared" si="107"/>
        <v>160</v>
      </c>
      <c r="W151" s="1936">
        <f t="shared" si="10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53.25" hidden="1" customHeight="1" x14ac:dyDescent="0.25">
      <c r="A152" s="1"/>
      <c r="B152" s="52" t="s">
        <v>253</v>
      </c>
      <c r="C152" s="34"/>
      <c r="D152" s="34" t="s">
        <v>265</v>
      </c>
      <c r="E152" s="34" t="s">
        <v>262</v>
      </c>
      <c r="F152" s="34" t="s">
        <v>252</v>
      </c>
      <c r="G152" s="131"/>
      <c r="H152" s="131"/>
      <c r="I152" s="34" t="s">
        <v>262</v>
      </c>
      <c r="J152" s="51">
        <f>J153</f>
        <v>160</v>
      </c>
      <c r="K152" s="51"/>
      <c r="L152" s="51">
        <f t="shared" si="106"/>
        <v>172</v>
      </c>
      <c r="M152" s="51">
        <f t="shared" si="106"/>
        <v>184</v>
      </c>
      <c r="N152" s="1938">
        <f t="shared" si="106"/>
        <v>160</v>
      </c>
      <c r="O152" s="1944">
        <f t="shared" si="106"/>
        <v>160</v>
      </c>
      <c r="P152" s="1944">
        <f t="shared" si="106"/>
        <v>160</v>
      </c>
      <c r="Q152" s="1945">
        <f t="shared" si="106"/>
        <v>160</v>
      </c>
      <c r="R152" s="1945">
        <f t="shared" si="106"/>
        <v>160</v>
      </c>
      <c r="V152" s="1938">
        <f t="shared" si="107"/>
        <v>160</v>
      </c>
      <c r="W152" s="1938">
        <f t="shared" si="10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65.5" hidden="1" thickBot="1" x14ac:dyDescent="0.3">
      <c r="A153" s="1"/>
      <c r="B153" s="157" t="s">
        <v>765</v>
      </c>
      <c r="C153" s="34"/>
      <c r="D153" s="34" t="s">
        <v>265</v>
      </c>
      <c r="E153" s="34" t="s">
        <v>262</v>
      </c>
      <c r="F153" s="34" t="s">
        <v>346</v>
      </c>
      <c r="G153" s="9"/>
      <c r="H153" s="9"/>
      <c r="I153" s="34" t="s">
        <v>262</v>
      </c>
      <c r="J153" s="1062">
        <f>J156</f>
        <v>160</v>
      </c>
      <c r="K153" s="1062"/>
      <c r="L153" s="1062">
        <f t="shared" ref="L153:R153" si="108">L156</f>
        <v>172</v>
      </c>
      <c r="M153" s="1062">
        <f t="shared" si="108"/>
        <v>184</v>
      </c>
      <c r="N153" s="1936">
        <f t="shared" si="108"/>
        <v>160</v>
      </c>
      <c r="O153" s="1937">
        <f t="shared" si="108"/>
        <v>160</v>
      </c>
      <c r="P153" s="1937">
        <f t="shared" si="108"/>
        <v>160</v>
      </c>
      <c r="Q153" s="1937">
        <f t="shared" si="108"/>
        <v>160</v>
      </c>
      <c r="R153" s="1937">
        <f t="shared" si="108"/>
        <v>160</v>
      </c>
      <c r="V153" s="1936">
        <f t="shared" ref="V153:W153" si="109">V156</f>
        <v>160</v>
      </c>
      <c r="W153" s="1936">
        <f t="shared" si="109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75" hidden="1" customHeight="1" x14ac:dyDescent="0.25">
      <c r="A154" s="1"/>
      <c r="B154" s="90" t="s">
        <v>270</v>
      </c>
      <c r="C154" s="34"/>
      <c r="D154" s="34" t="s">
        <v>265</v>
      </c>
      <c r="E154" s="34" t="s">
        <v>262</v>
      </c>
      <c r="F154" s="9" t="s">
        <v>269</v>
      </c>
      <c r="G154" s="9"/>
      <c r="H154" s="9"/>
      <c r="I154" s="34" t="s">
        <v>262</v>
      </c>
      <c r="J154" s="1062"/>
      <c r="K154" s="1062"/>
      <c r="L154" s="1062"/>
      <c r="M154" s="1062"/>
      <c r="N154" s="1936"/>
      <c r="O154" s="1937"/>
      <c r="P154" s="1937"/>
      <c r="Q154" s="1937"/>
      <c r="R154" s="1937"/>
      <c r="V154" s="1936"/>
      <c r="W154" s="1936"/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16.149999999999999" hidden="1" customHeight="1" x14ac:dyDescent="0.3">
      <c r="A155" s="1"/>
      <c r="B155" s="1935" t="s">
        <v>16</v>
      </c>
      <c r="C155" s="34"/>
      <c r="D155" s="34" t="s">
        <v>265</v>
      </c>
      <c r="E155" s="34" t="s">
        <v>262</v>
      </c>
      <c r="F155" s="9" t="s">
        <v>269</v>
      </c>
      <c r="G155" s="9" t="s">
        <v>1</v>
      </c>
      <c r="H155" s="9"/>
      <c r="I155" s="34" t="s">
        <v>262</v>
      </c>
      <c r="J155" s="1062"/>
      <c r="K155" s="1062"/>
      <c r="L155" s="1062"/>
      <c r="M155" s="1062"/>
      <c r="N155" s="1936"/>
      <c r="O155" s="1937"/>
      <c r="P155" s="1937"/>
      <c r="Q155" s="1937"/>
      <c r="R155" s="1937"/>
      <c r="V155" s="1936"/>
      <c r="W155" s="1936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77.25" hidden="1" customHeight="1" x14ac:dyDescent="0.25">
      <c r="A156" s="1"/>
      <c r="B156" s="49" t="s">
        <v>766</v>
      </c>
      <c r="C156" s="34"/>
      <c r="D156" s="34" t="s">
        <v>265</v>
      </c>
      <c r="E156" s="34" t="s">
        <v>262</v>
      </c>
      <c r="F156" s="9" t="s">
        <v>344</v>
      </c>
      <c r="G156" s="9"/>
      <c r="H156" s="9"/>
      <c r="I156" s="34" t="s">
        <v>262</v>
      </c>
      <c r="J156" s="1062">
        <f>J157</f>
        <v>160</v>
      </c>
      <c r="K156" s="1062"/>
      <c r="L156" s="1062">
        <f t="shared" ref="L156:R156" si="110">L157</f>
        <v>172</v>
      </c>
      <c r="M156" s="1062">
        <f t="shared" si="110"/>
        <v>184</v>
      </c>
      <c r="N156" s="1936">
        <f t="shared" si="110"/>
        <v>160</v>
      </c>
      <c r="O156" s="1937">
        <f t="shared" si="110"/>
        <v>160</v>
      </c>
      <c r="P156" s="1937">
        <f t="shared" si="110"/>
        <v>160</v>
      </c>
      <c r="Q156" s="1937">
        <f t="shared" si="110"/>
        <v>160</v>
      </c>
      <c r="R156" s="1937">
        <f t="shared" si="110"/>
        <v>160</v>
      </c>
      <c r="V156" s="1936">
        <f t="shared" ref="V156:W156" si="111">V157</f>
        <v>160</v>
      </c>
      <c r="W156" s="1936">
        <f t="shared" si="111"/>
        <v>160</v>
      </c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16.899999999999999" hidden="1" customHeight="1" x14ac:dyDescent="0.3">
      <c r="A157" s="1"/>
      <c r="B157" s="1935" t="s">
        <v>16</v>
      </c>
      <c r="C157" s="34"/>
      <c r="D157" s="34" t="s">
        <v>265</v>
      </c>
      <c r="E157" s="34" t="s">
        <v>262</v>
      </c>
      <c r="F157" s="9" t="s">
        <v>344</v>
      </c>
      <c r="G157" s="9" t="s">
        <v>1</v>
      </c>
      <c r="H157" s="9"/>
      <c r="I157" s="34" t="s">
        <v>262</v>
      </c>
      <c r="J157" s="1062">
        <v>160</v>
      </c>
      <c r="K157" s="1062"/>
      <c r="L157" s="1062">
        <v>172</v>
      </c>
      <c r="M157" s="1062">
        <v>184</v>
      </c>
      <c r="N157" s="1936">
        <v>160</v>
      </c>
      <c r="O157" s="1937">
        <v>160</v>
      </c>
      <c r="P157" s="1937">
        <v>160</v>
      </c>
      <c r="Q157" s="1937">
        <v>160</v>
      </c>
      <c r="R157" s="1937">
        <v>160</v>
      </c>
      <c r="V157" s="1936">
        <v>160</v>
      </c>
      <c r="W157" s="1936"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4.5" hidden="1" thickBot="1" x14ac:dyDescent="0.3">
      <c r="A158" s="1"/>
      <c r="B158" s="194" t="s">
        <v>343</v>
      </c>
      <c r="C158" s="193"/>
      <c r="D158" s="193" t="s">
        <v>246</v>
      </c>
      <c r="E158" s="193"/>
      <c r="F158" s="193"/>
      <c r="G158" s="193"/>
      <c r="H158" s="193"/>
      <c r="I158" s="193"/>
      <c r="J158" s="1057">
        <f>J159+J166</f>
        <v>7152.5</v>
      </c>
      <c r="K158" s="1057"/>
      <c r="L158" s="1057">
        <f t="shared" ref="L158:R158" si="112">L159+L166</f>
        <v>7583.5</v>
      </c>
      <c r="M158" s="1057">
        <f t="shared" si="112"/>
        <v>8198.5</v>
      </c>
      <c r="N158" s="1931">
        <f t="shared" si="112"/>
        <v>7152.5</v>
      </c>
      <c r="O158" s="1932">
        <f t="shared" si="112"/>
        <v>7152.5</v>
      </c>
      <c r="P158" s="1932">
        <f t="shared" si="112"/>
        <v>7152.5</v>
      </c>
      <c r="Q158" s="1932">
        <f t="shared" si="112"/>
        <v>7152.5</v>
      </c>
      <c r="R158" s="1932">
        <f t="shared" si="112"/>
        <v>7152.5</v>
      </c>
      <c r="V158" s="1931">
        <f t="shared" ref="V158:W158" si="113">V159+V166</f>
        <v>7152.5</v>
      </c>
      <c r="W158" s="1931">
        <f t="shared" si="113"/>
        <v>7152.5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3.5" hidden="1" thickBot="1" x14ac:dyDescent="0.3">
      <c r="A159" s="1"/>
      <c r="B159" s="52" t="s">
        <v>87</v>
      </c>
      <c r="C159" s="34"/>
      <c r="D159" s="34" t="s">
        <v>246</v>
      </c>
      <c r="E159" s="34" t="s">
        <v>85</v>
      </c>
      <c r="F159" s="34"/>
      <c r="G159" s="34"/>
      <c r="H159" s="34"/>
      <c r="I159" s="34" t="s">
        <v>85</v>
      </c>
      <c r="J159" s="1058">
        <f>J160</f>
        <v>5947</v>
      </c>
      <c r="K159" s="1058"/>
      <c r="L159" s="1058">
        <f t="shared" ref="L159:R161" si="114">L160</f>
        <v>6305</v>
      </c>
      <c r="M159" s="1058">
        <f t="shared" si="114"/>
        <v>6960</v>
      </c>
      <c r="N159" s="1933">
        <f t="shared" si="114"/>
        <v>5947</v>
      </c>
      <c r="O159" s="1934">
        <f t="shared" si="114"/>
        <v>5947</v>
      </c>
      <c r="P159" s="1934">
        <f t="shared" si="114"/>
        <v>5947</v>
      </c>
      <c r="Q159" s="1934">
        <f t="shared" si="114"/>
        <v>5947</v>
      </c>
      <c r="R159" s="1934">
        <f t="shared" si="114"/>
        <v>5947</v>
      </c>
      <c r="V159" s="1933">
        <f t="shared" ref="V159:W161" si="115">V160</f>
        <v>5947</v>
      </c>
      <c r="W159" s="1933">
        <f t="shared" si="115"/>
        <v>5947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55.5" hidden="1" customHeight="1" x14ac:dyDescent="0.25">
      <c r="A160" s="1"/>
      <c r="B160" s="52" t="s">
        <v>253</v>
      </c>
      <c r="C160" s="34"/>
      <c r="D160" s="34" t="s">
        <v>246</v>
      </c>
      <c r="E160" s="34" t="s">
        <v>85</v>
      </c>
      <c r="F160" s="34" t="s">
        <v>252</v>
      </c>
      <c r="G160" s="131"/>
      <c r="H160" s="131"/>
      <c r="I160" s="34" t="s">
        <v>85</v>
      </c>
      <c r="J160" s="51">
        <f>J161</f>
        <v>5947</v>
      </c>
      <c r="K160" s="51"/>
      <c r="L160" s="51">
        <f t="shared" si="114"/>
        <v>6305</v>
      </c>
      <c r="M160" s="51">
        <f t="shared" si="114"/>
        <v>6960</v>
      </c>
      <c r="N160" s="1938">
        <f t="shared" si="114"/>
        <v>5947</v>
      </c>
      <c r="O160" s="1944">
        <f t="shared" si="114"/>
        <v>5947</v>
      </c>
      <c r="P160" s="1944">
        <f t="shared" si="114"/>
        <v>5947</v>
      </c>
      <c r="Q160" s="1945">
        <f t="shared" si="114"/>
        <v>5947</v>
      </c>
      <c r="R160" s="1945">
        <f t="shared" si="114"/>
        <v>5947</v>
      </c>
      <c r="V160" s="1938">
        <f t="shared" si="115"/>
        <v>5947</v>
      </c>
      <c r="W160" s="1938">
        <f t="shared" si="115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2:26" ht="83.5" hidden="1" customHeight="1" x14ac:dyDescent="0.25">
      <c r="B161" s="157" t="s">
        <v>767</v>
      </c>
      <c r="C161" s="9"/>
      <c r="D161" s="9" t="s">
        <v>246</v>
      </c>
      <c r="E161" s="9" t="s">
        <v>85</v>
      </c>
      <c r="F161" s="9" t="s">
        <v>341</v>
      </c>
      <c r="G161" s="9"/>
      <c r="H161" s="9"/>
      <c r="I161" s="9" t="s">
        <v>85</v>
      </c>
      <c r="J161" s="1060">
        <f>J162</f>
        <v>5947</v>
      </c>
      <c r="K161" s="1060"/>
      <c r="L161" s="1060">
        <f t="shared" si="114"/>
        <v>6305</v>
      </c>
      <c r="M161" s="1060">
        <f t="shared" si="114"/>
        <v>6960</v>
      </c>
      <c r="N161" s="1936">
        <f t="shared" si="114"/>
        <v>5947</v>
      </c>
      <c r="O161" s="1937">
        <f t="shared" si="114"/>
        <v>5947</v>
      </c>
      <c r="P161" s="1937">
        <f t="shared" si="114"/>
        <v>5947</v>
      </c>
      <c r="Q161" s="1937">
        <f t="shared" si="114"/>
        <v>5947</v>
      </c>
      <c r="R161" s="1937">
        <f t="shared" si="114"/>
        <v>5947</v>
      </c>
      <c r="V161" s="1936">
        <f t="shared" si="115"/>
        <v>5947</v>
      </c>
      <c r="W161" s="1936">
        <f t="shared" si="115"/>
        <v>5947</v>
      </c>
    </row>
    <row r="162" spans="2:26" ht="78.5" hidden="1" thickBot="1" x14ac:dyDescent="0.3">
      <c r="B162" s="49" t="s">
        <v>768</v>
      </c>
      <c r="C162" s="9"/>
      <c r="D162" s="9" t="s">
        <v>246</v>
      </c>
      <c r="E162" s="9" t="s">
        <v>85</v>
      </c>
      <c r="F162" s="9" t="s">
        <v>339</v>
      </c>
      <c r="G162" s="9"/>
      <c r="H162" s="9"/>
      <c r="I162" s="9" t="s">
        <v>85</v>
      </c>
      <c r="J162" s="1060">
        <f>J163+J164+J165</f>
        <v>5947</v>
      </c>
      <c r="K162" s="1060"/>
      <c r="L162" s="1060">
        <f t="shared" ref="L162:R162" si="116">L163+L164+L165</f>
        <v>6305</v>
      </c>
      <c r="M162" s="1060">
        <f t="shared" si="116"/>
        <v>6960</v>
      </c>
      <c r="N162" s="1936">
        <f t="shared" si="116"/>
        <v>5947</v>
      </c>
      <c r="O162" s="1937">
        <f t="shared" si="116"/>
        <v>5947</v>
      </c>
      <c r="P162" s="1937">
        <f t="shared" si="116"/>
        <v>5947</v>
      </c>
      <c r="Q162" s="1937">
        <f t="shared" si="116"/>
        <v>5947</v>
      </c>
      <c r="R162" s="1937">
        <f t="shared" si="116"/>
        <v>5947</v>
      </c>
      <c r="V162" s="1936">
        <f t="shared" ref="V162:W162" si="117">V163+V164+V165</f>
        <v>5947</v>
      </c>
      <c r="W162" s="1936">
        <f t="shared" si="117"/>
        <v>5947</v>
      </c>
    </row>
    <row r="163" spans="2:26" ht="13.5" hidden="1" thickBot="1" x14ac:dyDescent="0.35">
      <c r="B163" s="1935" t="s">
        <v>256</v>
      </c>
      <c r="C163" s="9"/>
      <c r="D163" s="9" t="s">
        <v>246</v>
      </c>
      <c r="E163" s="9" t="s">
        <v>85</v>
      </c>
      <c r="F163" s="9" t="s">
        <v>339</v>
      </c>
      <c r="G163" s="9" t="s">
        <v>255</v>
      </c>
      <c r="H163" s="9"/>
      <c r="I163" s="9" t="s">
        <v>85</v>
      </c>
      <c r="J163" s="1078">
        <v>4171.2870000000003</v>
      </c>
      <c r="K163" s="1078"/>
      <c r="L163" s="1060">
        <v>5305.1139999999996</v>
      </c>
      <c r="M163" s="1060">
        <v>6631.482</v>
      </c>
      <c r="N163" s="1936">
        <v>4171.2870000000003</v>
      </c>
      <c r="O163" s="1937">
        <v>4171.2870000000003</v>
      </c>
      <c r="P163" s="1937">
        <v>4171.2870000000003</v>
      </c>
      <c r="Q163" s="1937">
        <v>4171.2870000000003</v>
      </c>
      <c r="R163" s="1937">
        <v>4171.2870000000003</v>
      </c>
      <c r="V163" s="1936">
        <v>4171.2870000000003</v>
      </c>
      <c r="W163" s="1936">
        <v>4171.2870000000003</v>
      </c>
    </row>
    <row r="164" spans="2:26" ht="13.5" hidden="1" thickBot="1" x14ac:dyDescent="0.35">
      <c r="B164" s="1935" t="s">
        <v>16</v>
      </c>
      <c r="C164" s="9"/>
      <c r="D164" s="9" t="s">
        <v>246</v>
      </c>
      <c r="E164" s="9" t="s">
        <v>85</v>
      </c>
      <c r="F164" s="9" t="s">
        <v>339</v>
      </c>
      <c r="G164" s="9" t="s">
        <v>1</v>
      </c>
      <c r="H164" s="9"/>
      <c r="I164" s="9" t="s">
        <v>85</v>
      </c>
      <c r="J164" s="1060">
        <f>1775.713-0.713</f>
        <v>1775</v>
      </c>
      <c r="K164" s="1060"/>
      <c r="L164" s="1060">
        <f>999.886-0.886</f>
        <v>999</v>
      </c>
      <c r="M164" s="1060">
        <v>328</v>
      </c>
      <c r="N164" s="1936">
        <f>1775.713-0.713</f>
        <v>1775</v>
      </c>
      <c r="O164" s="1937">
        <f>1775.713-0.713</f>
        <v>1775</v>
      </c>
      <c r="P164" s="1937">
        <f>1775.713-0.713</f>
        <v>1775</v>
      </c>
      <c r="Q164" s="1937">
        <f>1775.713-0.713</f>
        <v>1775</v>
      </c>
      <c r="R164" s="1937">
        <f>1775.713-0.713</f>
        <v>1775</v>
      </c>
      <c r="V164" s="1936">
        <f>1775.713-0.713</f>
        <v>1775</v>
      </c>
      <c r="W164" s="1936">
        <f>1775.713-0.713</f>
        <v>1775</v>
      </c>
    </row>
    <row r="165" spans="2:26" ht="13.5" hidden="1" thickBot="1" x14ac:dyDescent="0.35">
      <c r="B165" s="1935" t="s">
        <v>94</v>
      </c>
      <c r="C165" s="9"/>
      <c r="D165" s="9" t="s">
        <v>246</v>
      </c>
      <c r="E165" s="9" t="s">
        <v>85</v>
      </c>
      <c r="F165" s="9" t="s">
        <v>339</v>
      </c>
      <c r="G165" s="9" t="s">
        <v>91</v>
      </c>
      <c r="H165" s="9"/>
      <c r="I165" s="9" t="s">
        <v>85</v>
      </c>
      <c r="J165" s="1062">
        <v>0.71299999999999997</v>
      </c>
      <c r="K165" s="1062"/>
      <c r="L165" s="1062">
        <v>0.88600000000000001</v>
      </c>
      <c r="M165" s="1062">
        <v>0.51800000000000002</v>
      </c>
      <c r="N165" s="1936">
        <v>0.71299999999999997</v>
      </c>
      <c r="O165" s="1937">
        <v>0.71299999999999997</v>
      </c>
      <c r="P165" s="1937">
        <v>0.71299999999999997</v>
      </c>
      <c r="Q165" s="1937">
        <v>0.71299999999999997</v>
      </c>
      <c r="R165" s="1937">
        <v>0.71299999999999997</v>
      </c>
      <c r="V165" s="1936">
        <v>0.71299999999999997</v>
      </c>
      <c r="W165" s="1936">
        <v>0.71299999999999997</v>
      </c>
    </row>
    <row r="166" spans="2:26" ht="30.75" hidden="1" customHeight="1" x14ac:dyDescent="0.25">
      <c r="B166" s="52" t="s">
        <v>244</v>
      </c>
      <c r="C166" s="34"/>
      <c r="D166" s="34" t="s">
        <v>246</v>
      </c>
      <c r="E166" s="34" t="s">
        <v>242</v>
      </c>
      <c r="F166" s="9"/>
      <c r="G166" s="9"/>
      <c r="H166" s="9"/>
      <c r="I166" s="34" t="s">
        <v>242</v>
      </c>
      <c r="J166" s="1058">
        <f>J167</f>
        <v>1205.5</v>
      </c>
      <c r="K166" s="1058"/>
      <c r="L166" s="1058">
        <f t="shared" ref="L166:R169" si="118">L167</f>
        <v>1278.5</v>
      </c>
      <c r="M166" s="1058">
        <f t="shared" si="118"/>
        <v>1238.5</v>
      </c>
      <c r="N166" s="1933">
        <f t="shared" si="118"/>
        <v>1205.5</v>
      </c>
      <c r="O166" s="1934">
        <f t="shared" si="118"/>
        <v>1205.5</v>
      </c>
      <c r="P166" s="1934">
        <f t="shared" si="118"/>
        <v>1205.5</v>
      </c>
      <c r="Q166" s="1934">
        <f t="shared" si="118"/>
        <v>1205.5</v>
      </c>
      <c r="R166" s="1934">
        <f t="shared" si="118"/>
        <v>1205.5</v>
      </c>
      <c r="V166" s="1933">
        <f t="shared" ref="V166:W169" si="119">V167</f>
        <v>1205.5</v>
      </c>
      <c r="W166" s="1933">
        <f t="shared" si="119"/>
        <v>1205.5</v>
      </c>
    </row>
    <row r="167" spans="2:26" ht="39.65" hidden="1" customHeight="1" x14ac:dyDescent="0.25">
      <c r="B167" s="52" t="s">
        <v>253</v>
      </c>
      <c r="C167" s="34"/>
      <c r="D167" s="34" t="s">
        <v>246</v>
      </c>
      <c r="E167" s="34" t="s">
        <v>242</v>
      </c>
      <c r="F167" s="34" t="s">
        <v>252</v>
      </c>
      <c r="G167" s="131"/>
      <c r="H167" s="131"/>
      <c r="I167" s="34" t="s">
        <v>242</v>
      </c>
      <c r="J167" s="51">
        <f>J168</f>
        <v>1205.5</v>
      </c>
      <c r="K167" s="51"/>
      <c r="L167" s="51">
        <f t="shared" si="118"/>
        <v>1278.5</v>
      </c>
      <c r="M167" s="51">
        <f t="shared" si="118"/>
        <v>1238.5</v>
      </c>
      <c r="N167" s="1938">
        <f t="shared" si="118"/>
        <v>1205.5</v>
      </c>
      <c r="O167" s="1944">
        <f t="shared" si="118"/>
        <v>1205.5</v>
      </c>
      <c r="P167" s="1944">
        <f t="shared" si="118"/>
        <v>1205.5</v>
      </c>
      <c r="Q167" s="1945">
        <f t="shared" si="118"/>
        <v>1205.5</v>
      </c>
      <c r="R167" s="1945">
        <f t="shared" si="118"/>
        <v>1205.5</v>
      </c>
      <c r="V167" s="1938">
        <f t="shared" si="119"/>
        <v>1205.5</v>
      </c>
      <c r="W167" s="1938">
        <f t="shared" si="119"/>
        <v>1205.5</v>
      </c>
    </row>
    <row r="168" spans="2:26" ht="85.9" hidden="1" customHeight="1" x14ac:dyDescent="0.25">
      <c r="B168" s="157" t="s">
        <v>769</v>
      </c>
      <c r="C168" s="9"/>
      <c r="D168" s="9" t="s">
        <v>246</v>
      </c>
      <c r="E168" s="9" t="s">
        <v>242</v>
      </c>
      <c r="F168" s="9" t="s">
        <v>337</v>
      </c>
      <c r="G168" s="9"/>
      <c r="H168" s="9"/>
      <c r="I168" s="9" t="s">
        <v>242</v>
      </c>
      <c r="J168" s="1060">
        <f>J169</f>
        <v>1205.5</v>
      </c>
      <c r="K168" s="1060"/>
      <c r="L168" s="1060">
        <f t="shared" si="118"/>
        <v>1278.5</v>
      </c>
      <c r="M168" s="1060">
        <f t="shared" si="118"/>
        <v>1238.5</v>
      </c>
      <c r="N168" s="1936">
        <f t="shared" si="118"/>
        <v>1205.5</v>
      </c>
      <c r="O168" s="1937">
        <f t="shared" si="118"/>
        <v>1205.5</v>
      </c>
      <c r="P168" s="1937">
        <f t="shared" si="118"/>
        <v>1205.5</v>
      </c>
      <c r="Q168" s="1937">
        <f t="shared" si="118"/>
        <v>1205.5</v>
      </c>
      <c r="R168" s="1937">
        <f t="shared" si="118"/>
        <v>1205.5</v>
      </c>
      <c r="V168" s="1936">
        <f t="shared" si="119"/>
        <v>1205.5</v>
      </c>
      <c r="W168" s="1936">
        <f t="shared" si="119"/>
        <v>1205.5</v>
      </c>
    </row>
    <row r="169" spans="2:26" ht="78.5" hidden="1" thickBot="1" x14ac:dyDescent="0.3">
      <c r="B169" s="49" t="s">
        <v>770</v>
      </c>
      <c r="C169" s="9"/>
      <c r="D169" s="9" t="s">
        <v>246</v>
      </c>
      <c r="E169" s="9" t="s">
        <v>242</v>
      </c>
      <c r="F169" s="9" t="s">
        <v>335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118"/>
        <v>1278.5</v>
      </c>
      <c r="M169" s="1060">
        <f t="shared" si="118"/>
        <v>1238.5</v>
      </c>
      <c r="N169" s="1936">
        <f t="shared" si="118"/>
        <v>1205.5</v>
      </c>
      <c r="O169" s="1937">
        <f t="shared" si="118"/>
        <v>1205.5</v>
      </c>
      <c r="P169" s="1937">
        <f t="shared" si="118"/>
        <v>1205.5</v>
      </c>
      <c r="Q169" s="1937">
        <f t="shared" si="118"/>
        <v>1205.5</v>
      </c>
      <c r="R169" s="1937">
        <f t="shared" si="118"/>
        <v>1205.5</v>
      </c>
      <c r="V169" s="1936">
        <f t="shared" si="119"/>
        <v>1205.5</v>
      </c>
      <c r="W169" s="1936">
        <f t="shared" si="119"/>
        <v>1205.5</v>
      </c>
    </row>
    <row r="170" spans="2:26" ht="13.5" hidden="1" thickBot="1" x14ac:dyDescent="0.35">
      <c r="B170" s="1935" t="s">
        <v>16</v>
      </c>
      <c r="C170" s="9"/>
      <c r="D170" s="9" t="s">
        <v>246</v>
      </c>
      <c r="E170" s="9" t="s">
        <v>242</v>
      </c>
      <c r="F170" s="9" t="s">
        <v>335</v>
      </c>
      <c r="G170" s="9" t="s">
        <v>1</v>
      </c>
      <c r="H170" s="9"/>
      <c r="I170" s="9" t="s">
        <v>242</v>
      </c>
      <c r="J170" s="1060">
        <v>1205.5</v>
      </c>
      <c r="K170" s="1060"/>
      <c r="L170" s="1060">
        <v>1278.5</v>
      </c>
      <c r="M170" s="1060">
        <v>1238.5</v>
      </c>
      <c r="N170" s="1936">
        <v>1205.5</v>
      </c>
      <c r="O170" s="1937">
        <v>1205.5</v>
      </c>
      <c r="P170" s="1937">
        <v>1205.5</v>
      </c>
      <c r="Q170" s="1937">
        <v>1205.5</v>
      </c>
      <c r="R170" s="1937">
        <v>1205.5</v>
      </c>
      <c r="V170" s="1936">
        <v>1205.5</v>
      </c>
      <c r="W170" s="1936">
        <v>1205.5</v>
      </c>
    </row>
    <row r="171" spans="2:26" s="162" customFormat="1" ht="52.5" hidden="1" thickBot="1" x14ac:dyDescent="0.35">
      <c r="B171" s="164" t="s">
        <v>247</v>
      </c>
      <c r="C171" s="33"/>
      <c r="D171" s="33" t="s">
        <v>246</v>
      </c>
      <c r="E171" s="9" t="s">
        <v>242</v>
      </c>
      <c r="F171" s="33" t="s">
        <v>245</v>
      </c>
      <c r="G171" s="31"/>
      <c r="H171" s="31"/>
      <c r="I171" s="9" t="s">
        <v>242</v>
      </c>
      <c r="J171" s="1062"/>
      <c r="K171" s="1062"/>
      <c r="L171" s="1062"/>
      <c r="M171" s="1062"/>
      <c r="N171" s="1936"/>
      <c r="O171" s="1937"/>
      <c r="P171" s="1937"/>
      <c r="Q171" s="1937"/>
      <c r="R171" s="1937"/>
      <c r="S171" s="163"/>
      <c r="T171" s="163"/>
      <c r="U171" s="163"/>
      <c r="V171" s="1936"/>
      <c r="W171" s="1936"/>
      <c r="X171" s="163"/>
      <c r="Z171" s="2142"/>
    </row>
    <row r="172" spans="2:26" ht="14.5" hidden="1" thickBot="1" x14ac:dyDescent="0.3">
      <c r="B172" s="194" t="s">
        <v>334</v>
      </c>
      <c r="C172" s="193"/>
      <c r="D172" s="193" t="s">
        <v>44</v>
      </c>
      <c r="E172" s="193"/>
      <c r="F172" s="193"/>
      <c r="G172" s="193"/>
      <c r="H172" s="193"/>
      <c r="I172" s="193"/>
      <c r="J172" s="1067">
        <f>J173+J176</f>
        <v>412.5</v>
      </c>
      <c r="K172" s="1067"/>
      <c r="L172" s="1067">
        <f t="shared" ref="L172:R172" si="120">L173+L176</f>
        <v>412.5</v>
      </c>
      <c r="M172" s="1067">
        <f t="shared" si="120"/>
        <v>412.5</v>
      </c>
      <c r="N172" s="1942">
        <f t="shared" si="120"/>
        <v>412.5</v>
      </c>
      <c r="O172" s="1943">
        <f t="shared" si="120"/>
        <v>412.5</v>
      </c>
      <c r="P172" s="1943">
        <f t="shared" si="120"/>
        <v>412.5</v>
      </c>
      <c r="Q172" s="1943">
        <f t="shared" si="120"/>
        <v>412.5</v>
      </c>
      <c r="R172" s="1943">
        <f t="shared" si="120"/>
        <v>412.5</v>
      </c>
      <c r="V172" s="1942">
        <f t="shared" ref="V172:W172" si="121">V173+V176</f>
        <v>412.5</v>
      </c>
      <c r="W172" s="1942">
        <f t="shared" si="121"/>
        <v>412.5</v>
      </c>
    </row>
    <row r="173" spans="2:26" ht="13.5" hidden="1" thickBot="1" x14ac:dyDescent="0.3">
      <c r="B173" s="126" t="s">
        <v>79</v>
      </c>
      <c r="C173" s="89"/>
      <c r="D173" s="34" t="s">
        <v>44</v>
      </c>
      <c r="E173" s="34" t="s">
        <v>76</v>
      </c>
      <c r="F173" s="89"/>
      <c r="G173" s="89"/>
      <c r="H173" s="89"/>
      <c r="I173" s="34" t="s">
        <v>76</v>
      </c>
      <c r="J173" s="1065">
        <f>J174</f>
        <v>240.5</v>
      </c>
      <c r="K173" s="1065"/>
      <c r="L173" s="1065">
        <f t="shared" ref="L173:R174" si="122">L174</f>
        <v>240.5</v>
      </c>
      <c r="M173" s="1065">
        <f t="shared" si="122"/>
        <v>240.5</v>
      </c>
      <c r="N173" s="1938">
        <f t="shared" si="122"/>
        <v>240.5</v>
      </c>
      <c r="O173" s="1939">
        <f t="shared" si="122"/>
        <v>240.5</v>
      </c>
      <c r="P173" s="1939">
        <f t="shared" si="122"/>
        <v>240.5</v>
      </c>
      <c r="Q173" s="1939">
        <f t="shared" si="122"/>
        <v>240.5</v>
      </c>
      <c r="R173" s="1939">
        <f t="shared" si="122"/>
        <v>240.5</v>
      </c>
      <c r="V173" s="1938">
        <f t="shared" ref="V173:W174" si="123">V174</f>
        <v>240.5</v>
      </c>
      <c r="W173" s="1938">
        <f t="shared" si="123"/>
        <v>240.5</v>
      </c>
    </row>
    <row r="174" spans="2:26" ht="21" hidden="1" customHeight="1" x14ac:dyDescent="0.25">
      <c r="B174" s="90" t="s">
        <v>333</v>
      </c>
      <c r="C174" s="89"/>
      <c r="D174" s="9" t="s">
        <v>44</v>
      </c>
      <c r="E174" s="9" t="s">
        <v>76</v>
      </c>
      <c r="F174" s="77">
        <v>9900308</v>
      </c>
      <c r="G174" s="89"/>
      <c r="H174" s="89"/>
      <c r="I174" s="9" t="s">
        <v>76</v>
      </c>
      <c r="J174" s="1063">
        <f>J175</f>
        <v>240.5</v>
      </c>
      <c r="K174" s="1063"/>
      <c r="L174" s="1063">
        <f t="shared" si="122"/>
        <v>240.5</v>
      </c>
      <c r="M174" s="1063">
        <f t="shared" si="122"/>
        <v>240.5</v>
      </c>
      <c r="N174" s="1940">
        <f t="shared" si="122"/>
        <v>240.5</v>
      </c>
      <c r="O174" s="1941">
        <f t="shared" si="122"/>
        <v>240.5</v>
      </c>
      <c r="P174" s="1941">
        <f t="shared" si="122"/>
        <v>240.5</v>
      </c>
      <c r="Q174" s="1941">
        <f t="shared" si="122"/>
        <v>240.5</v>
      </c>
      <c r="R174" s="1941">
        <f t="shared" si="122"/>
        <v>240.5</v>
      </c>
      <c r="V174" s="1940">
        <f t="shared" si="123"/>
        <v>240.5</v>
      </c>
      <c r="W174" s="1940">
        <f t="shared" si="123"/>
        <v>240.5</v>
      </c>
    </row>
    <row r="175" spans="2:26" ht="21" hidden="1" customHeight="1" x14ac:dyDescent="0.3">
      <c r="B175" s="1935" t="s">
        <v>46</v>
      </c>
      <c r="C175" s="89"/>
      <c r="D175" s="9" t="s">
        <v>44</v>
      </c>
      <c r="E175" s="9" t="s">
        <v>76</v>
      </c>
      <c r="F175" s="77">
        <v>9900308</v>
      </c>
      <c r="G175" s="33" t="s">
        <v>42</v>
      </c>
      <c r="H175" s="33"/>
      <c r="I175" s="9" t="s">
        <v>76</v>
      </c>
      <c r="J175" s="1063">
        <v>240.5</v>
      </c>
      <c r="K175" s="1063"/>
      <c r="L175" s="1063">
        <v>240.5</v>
      </c>
      <c r="M175" s="1063">
        <v>240.5</v>
      </c>
      <c r="N175" s="1940">
        <v>240.5</v>
      </c>
      <c r="O175" s="1941">
        <v>240.5</v>
      </c>
      <c r="P175" s="1941">
        <v>240.5</v>
      </c>
      <c r="Q175" s="1941">
        <v>240.5</v>
      </c>
      <c r="R175" s="1941">
        <v>240.5</v>
      </c>
      <c r="V175" s="1940">
        <v>240.5</v>
      </c>
      <c r="W175" s="1940">
        <v>240.5</v>
      </c>
    </row>
    <row r="176" spans="2:26" ht="13.5" hidden="1" thickBot="1" x14ac:dyDescent="0.3">
      <c r="B176" s="196" t="s">
        <v>45</v>
      </c>
      <c r="C176" s="34"/>
      <c r="D176" s="34" t="s">
        <v>44</v>
      </c>
      <c r="E176" s="34" t="s">
        <v>41</v>
      </c>
      <c r="F176" s="34"/>
      <c r="G176" s="9"/>
      <c r="H176" s="9"/>
      <c r="I176" s="34" t="s">
        <v>41</v>
      </c>
      <c r="J176" s="1065">
        <f>J177</f>
        <v>172</v>
      </c>
      <c r="K176" s="1065"/>
      <c r="L176" s="1065">
        <f t="shared" ref="L176:R177" si="124">L177</f>
        <v>172</v>
      </c>
      <c r="M176" s="1065">
        <f t="shared" si="124"/>
        <v>172</v>
      </c>
      <c r="N176" s="1938">
        <f t="shared" si="124"/>
        <v>172</v>
      </c>
      <c r="O176" s="1939">
        <f t="shared" si="124"/>
        <v>172</v>
      </c>
      <c r="P176" s="1939">
        <f t="shared" si="124"/>
        <v>172</v>
      </c>
      <c r="Q176" s="1939">
        <f t="shared" si="124"/>
        <v>172</v>
      </c>
      <c r="R176" s="1939">
        <f t="shared" si="124"/>
        <v>172</v>
      </c>
      <c r="V176" s="1938">
        <f t="shared" ref="V176:W177" si="125">V177</f>
        <v>172</v>
      </c>
      <c r="W176" s="1938">
        <f t="shared" si="125"/>
        <v>172</v>
      </c>
    </row>
    <row r="177" spans="1:256" s="2" customFormat="1" ht="21" hidden="1" customHeight="1" x14ac:dyDescent="0.25">
      <c r="A177" s="1"/>
      <c r="B177" s="70" t="s">
        <v>332</v>
      </c>
      <c r="C177" s="70"/>
      <c r="D177" s="9" t="s">
        <v>44</v>
      </c>
      <c r="E177" s="9" t="s">
        <v>41</v>
      </c>
      <c r="F177" s="77">
        <v>9901073</v>
      </c>
      <c r="G177" s="9"/>
      <c r="H177" s="9"/>
      <c r="I177" s="9" t="s">
        <v>41</v>
      </c>
      <c r="J177" s="1063">
        <f>J178</f>
        <v>172</v>
      </c>
      <c r="K177" s="1063"/>
      <c r="L177" s="1063">
        <f t="shared" si="124"/>
        <v>172</v>
      </c>
      <c r="M177" s="1063">
        <f t="shared" si="124"/>
        <v>172</v>
      </c>
      <c r="N177" s="1940">
        <f t="shared" si="124"/>
        <v>172</v>
      </c>
      <c r="O177" s="1941">
        <f t="shared" si="124"/>
        <v>172</v>
      </c>
      <c r="P177" s="1941">
        <f t="shared" si="124"/>
        <v>172</v>
      </c>
      <c r="Q177" s="1941">
        <f t="shared" si="124"/>
        <v>172</v>
      </c>
      <c r="R177" s="1941">
        <f t="shared" si="124"/>
        <v>172</v>
      </c>
      <c r="V177" s="1940">
        <f t="shared" si="125"/>
        <v>172</v>
      </c>
      <c r="W177" s="1940">
        <f t="shared" si="125"/>
        <v>172</v>
      </c>
      <c r="Y177" s="1"/>
      <c r="Z177" s="237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21" hidden="1" customHeight="1" x14ac:dyDescent="0.3">
      <c r="A178" s="1"/>
      <c r="B178" s="1935" t="s">
        <v>46</v>
      </c>
      <c r="C178" s="70"/>
      <c r="D178" s="9" t="s">
        <v>44</v>
      </c>
      <c r="E178" s="9" t="s">
        <v>41</v>
      </c>
      <c r="F178" s="77">
        <v>9901073</v>
      </c>
      <c r="G178" s="9" t="s">
        <v>42</v>
      </c>
      <c r="H178" s="9"/>
      <c r="I178" s="9" t="s">
        <v>41</v>
      </c>
      <c r="J178" s="1063">
        <v>172</v>
      </c>
      <c r="K178" s="1063"/>
      <c r="L178" s="1063">
        <v>172</v>
      </c>
      <c r="M178" s="1063">
        <v>172</v>
      </c>
      <c r="N178" s="1940">
        <v>172</v>
      </c>
      <c r="O178" s="1941">
        <v>172</v>
      </c>
      <c r="P178" s="1941">
        <v>172</v>
      </c>
      <c r="Q178" s="1941">
        <v>172</v>
      </c>
      <c r="R178" s="1941">
        <v>172</v>
      </c>
      <c r="V178" s="1940">
        <v>172</v>
      </c>
      <c r="W178" s="1940"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14.5" hidden="1" thickBot="1" x14ac:dyDescent="0.3">
      <c r="A179" s="1"/>
      <c r="B179" s="194" t="s">
        <v>331</v>
      </c>
      <c r="C179" s="193"/>
      <c r="D179" s="193" t="s">
        <v>295</v>
      </c>
      <c r="E179" s="193"/>
      <c r="F179" s="193"/>
      <c r="G179" s="193"/>
      <c r="H179" s="193"/>
      <c r="I179" s="193"/>
      <c r="J179" s="1068">
        <f>J181</f>
        <v>3930</v>
      </c>
      <c r="K179" s="1068"/>
      <c r="L179" s="1068">
        <f t="shared" ref="L179:R179" si="126">L181</f>
        <v>3930</v>
      </c>
      <c r="M179" s="1068">
        <f t="shared" si="126"/>
        <v>1185</v>
      </c>
      <c r="N179" s="1942">
        <f t="shared" si="126"/>
        <v>3930</v>
      </c>
      <c r="O179" s="1943">
        <f t="shared" si="126"/>
        <v>3930</v>
      </c>
      <c r="P179" s="1943">
        <f t="shared" si="126"/>
        <v>3930</v>
      </c>
      <c r="Q179" s="1943">
        <f t="shared" si="126"/>
        <v>3930</v>
      </c>
      <c r="R179" s="1943">
        <f t="shared" si="126"/>
        <v>3930</v>
      </c>
      <c r="V179" s="1942">
        <f t="shared" ref="V179:W179" si="127">V181</f>
        <v>3930</v>
      </c>
      <c r="W179" s="1942">
        <f t="shared" si="127"/>
        <v>3930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24" hidden="1" customHeight="1" x14ac:dyDescent="0.25">
      <c r="A180" s="1"/>
      <c r="B180" s="52" t="s">
        <v>64</v>
      </c>
      <c r="C180" s="9"/>
      <c r="D180" s="34" t="s">
        <v>295</v>
      </c>
      <c r="E180" s="34" t="s">
        <v>62</v>
      </c>
      <c r="F180" s="34"/>
      <c r="G180" s="34"/>
      <c r="H180" s="34"/>
      <c r="I180" s="34" t="s">
        <v>62</v>
      </c>
      <c r="J180" s="1061">
        <f>J181</f>
        <v>3930</v>
      </c>
      <c r="K180" s="1061"/>
      <c r="L180" s="1061">
        <f t="shared" ref="L180:R180" si="128">L181</f>
        <v>3930</v>
      </c>
      <c r="M180" s="1061">
        <f t="shared" si="128"/>
        <v>1185</v>
      </c>
      <c r="N180" s="1940">
        <f t="shared" si="128"/>
        <v>3930</v>
      </c>
      <c r="O180" s="1941">
        <f t="shared" si="128"/>
        <v>3930</v>
      </c>
      <c r="P180" s="1941">
        <f t="shared" si="128"/>
        <v>3930</v>
      </c>
      <c r="Q180" s="1941">
        <f t="shared" si="128"/>
        <v>3930</v>
      </c>
      <c r="R180" s="1941">
        <f t="shared" si="128"/>
        <v>3930</v>
      </c>
      <c r="V180" s="1940">
        <f t="shared" ref="V180:W180" si="129">V181</f>
        <v>3930</v>
      </c>
      <c r="W180" s="1940">
        <f t="shared" si="129"/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8.5" hidden="1" customHeight="1" x14ac:dyDescent="0.25">
      <c r="A181" s="1"/>
      <c r="B181" s="126" t="s">
        <v>330</v>
      </c>
      <c r="C181" s="9"/>
      <c r="D181" s="9" t="s">
        <v>295</v>
      </c>
      <c r="E181" s="9" t="s">
        <v>62</v>
      </c>
      <c r="F181" s="9" t="s">
        <v>329</v>
      </c>
      <c r="G181" s="175"/>
      <c r="H181" s="175"/>
      <c r="I181" s="9" t="s">
        <v>62</v>
      </c>
      <c r="J181" s="1079">
        <f>J184+J188</f>
        <v>3930</v>
      </c>
      <c r="K181" s="1079"/>
      <c r="L181" s="1079">
        <f t="shared" ref="L181:R181" si="130">L184+L188</f>
        <v>3930</v>
      </c>
      <c r="M181" s="1079">
        <f t="shared" si="130"/>
        <v>1185</v>
      </c>
      <c r="N181" s="1946">
        <f t="shared" si="130"/>
        <v>3930</v>
      </c>
      <c r="O181" s="1964">
        <f t="shared" si="130"/>
        <v>3930</v>
      </c>
      <c r="P181" s="1964">
        <f t="shared" si="130"/>
        <v>3930</v>
      </c>
      <c r="Q181" s="1947">
        <f t="shared" si="130"/>
        <v>3930</v>
      </c>
      <c r="R181" s="1947">
        <f t="shared" si="130"/>
        <v>3930</v>
      </c>
      <c r="V181" s="1946">
        <f t="shared" ref="V181:W181" si="131">V184+V188</f>
        <v>3930</v>
      </c>
      <c r="W181" s="1946">
        <f t="shared" si="131"/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2.5" hidden="1" thickBot="1" x14ac:dyDescent="0.3">
      <c r="A182" s="1"/>
      <c r="B182" s="157" t="s">
        <v>771</v>
      </c>
      <c r="C182" s="9"/>
      <c r="D182" s="9" t="s">
        <v>295</v>
      </c>
      <c r="E182" s="9" t="s">
        <v>62</v>
      </c>
      <c r="F182" s="9" t="s">
        <v>309</v>
      </c>
      <c r="G182" s="9"/>
      <c r="H182" s="9"/>
      <c r="I182" s="9" t="s">
        <v>62</v>
      </c>
      <c r="J182" s="1061"/>
      <c r="K182" s="1061"/>
      <c r="L182" s="1061"/>
      <c r="M182" s="1061"/>
      <c r="N182" s="1940"/>
      <c r="O182" s="1941"/>
      <c r="P182" s="1941"/>
      <c r="Q182" s="1941"/>
      <c r="R182" s="1941"/>
      <c r="V182" s="1940"/>
      <c r="W182" s="1940"/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2.5" hidden="1" thickBot="1" x14ac:dyDescent="0.3">
      <c r="A183" s="1"/>
      <c r="B183" s="76" t="s">
        <v>772</v>
      </c>
      <c r="C183" s="9"/>
      <c r="D183" s="9" t="s">
        <v>295</v>
      </c>
      <c r="E183" s="9" t="s">
        <v>62</v>
      </c>
      <c r="F183" s="9" t="s">
        <v>307</v>
      </c>
      <c r="G183" s="9"/>
      <c r="H183" s="9"/>
      <c r="I183" s="9" t="s">
        <v>62</v>
      </c>
      <c r="J183" s="1061"/>
      <c r="K183" s="1061"/>
      <c r="L183" s="1061"/>
      <c r="M183" s="1061"/>
      <c r="N183" s="1940"/>
      <c r="O183" s="1941"/>
      <c r="P183" s="1941"/>
      <c r="Q183" s="1941"/>
      <c r="R183" s="1941"/>
      <c r="V183" s="1940"/>
      <c r="W183" s="1940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78.5" hidden="1" thickBot="1" x14ac:dyDescent="0.3">
      <c r="A184" s="1"/>
      <c r="B184" s="157" t="s">
        <v>773</v>
      </c>
      <c r="C184" s="9"/>
      <c r="D184" s="9" t="s">
        <v>295</v>
      </c>
      <c r="E184" s="9" t="s">
        <v>62</v>
      </c>
      <c r="F184" s="34" t="s">
        <v>305</v>
      </c>
      <c r="G184" s="9"/>
      <c r="H184" s="9"/>
      <c r="I184" s="9" t="s">
        <v>62</v>
      </c>
      <c r="J184" s="1059">
        <f>J185</f>
        <v>3600</v>
      </c>
      <c r="K184" s="1059"/>
      <c r="L184" s="1059">
        <f t="shared" ref="L184:R185" si="132">L185</f>
        <v>3600</v>
      </c>
      <c r="M184" s="1059">
        <f t="shared" si="132"/>
        <v>850</v>
      </c>
      <c r="N184" s="1933">
        <f t="shared" si="132"/>
        <v>3600</v>
      </c>
      <c r="O184" s="1934">
        <f t="shared" si="132"/>
        <v>3600</v>
      </c>
      <c r="P184" s="1934">
        <f t="shared" si="132"/>
        <v>3600</v>
      </c>
      <c r="Q184" s="1934">
        <f t="shared" si="132"/>
        <v>3600</v>
      </c>
      <c r="R184" s="1934">
        <f t="shared" si="132"/>
        <v>3600</v>
      </c>
      <c r="V184" s="1933">
        <f t="shared" ref="V184:W185" si="133">V185</f>
        <v>3600</v>
      </c>
      <c r="W184" s="1933">
        <f t="shared" si="133"/>
        <v>3600</v>
      </c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80.5" hidden="1" customHeight="1" x14ac:dyDescent="0.25">
      <c r="A185" s="1"/>
      <c r="B185" s="49" t="s">
        <v>774</v>
      </c>
      <c r="C185" s="9"/>
      <c r="D185" s="9" t="s">
        <v>295</v>
      </c>
      <c r="E185" s="9" t="s">
        <v>62</v>
      </c>
      <c r="F185" s="9" t="s">
        <v>301</v>
      </c>
      <c r="G185" s="9"/>
      <c r="H185" s="9"/>
      <c r="I185" s="9" t="s">
        <v>62</v>
      </c>
      <c r="J185" s="1061">
        <f>J186</f>
        <v>3600</v>
      </c>
      <c r="K185" s="1061"/>
      <c r="L185" s="1061">
        <f t="shared" si="132"/>
        <v>3600</v>
      </c>
      <c r="M185" s="1061">
        <f t="shared" si="132"/>
        <v>850</v>
      </c>
      <c r="N185" s="1940">
        <f t="shared" si="132"/>
        <v>3600</v>
      </c>
      <c r="O185" s="1941">
        <f t="shared" si="132"/>
        <v>3600</v>
      </c>
      <c r="P185" s="1941">
        <f t="shared" si="132"/>
        <v>3600</v>
      </c>
      <c r="Q185" s="1941">
        <f t="shared" si="132"/>
        <v>3600</v>
      </c>
      <c r="R185" s="1941">
        <f t="shared" si="132"/>
        <v>3600</v>
      </c>
      <c r="V185" s="1940">
        <f t="shared" si="133"/>
        <v>3600</v>
      </c>
      <c r="W185" s="1940">
        <f t="shared" si="133"/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35">
      <c r="A186" s="1"/>
      <c r="B186" s="744" t="s">
        <v>16</v>
      </c>
      <c r="C186" s="9"/>
      <c r="D186" s="9" t="s">
        <v>295</v>
      </c>
      <c r="E186" s="9" t="s">
        <v>62</v>
      </c>
      <c r="F186" s="9" t="s">
        <v>301</v>
      </c>
      <c r="G186" s="9" t="s">
        <v>1</v>
      </c>
      <c r="H186" s="9"/>
      <c r="I186" s="9" t="s">
        <v>62</v>
      </c>
      <c r="J186" s="1061">
        <v>3600</v>
      </c>
      <c r="K186" s="1061"/>
      <c r="L186" s="1061">
        <v>3600</v>
      </c>
      <c r="M186" s="1061">
        <v>850</v>
      </c>
      <c r="N186" s="1940">
        <v>3600</v>
      </c>
      <c r="O186" s="1941">
        <v>3600</v>
      </c>
      <c r="P186" s="1941">
        <v>3600</v>
      </c>
      <c r="Q186" s="1941">
        <v>3600</v>
      </c>
      <c r="R186" s="1941">
        <v>3600</v>
      </c>
      <c r="V186" s="1940">
        <v>3600</v>
      </c>
      <c r="W186" s="1940"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52.5" hidden="1" thickBot="1" x14ac:dyDescent="0.3">
      <c r="A187" s="1"/>
      <c r="B187" s="76" t="s">
        <v>303</v>
      </c>
      <c r="C187" s="9"/>
      <c r="D187" s="9" t="s">
        <v>295</v>
      </c>
      <c r="E187" s="9" t="s">
        <v>62</v>
      </c>
      <c r="F187" s="9" t="s">
        <v>302</v>
      </c>
      <c r="G187" s="9"/>
      <c r="H187" s="9"/>
      <c r="I187" s="9" t="s">
        <v>62</v>
      </c>
      <c r="J187" s="1063"/>
      <c r="K187" s="1063"/>
      <c r="L187" s="1063"/>
      <c r="M187" s="1063"/>
      <c r="N187" s="1940"/>
      <c r="O187" s="1941"/>
      <c r="P187" s="1941"/>
      <c r="Q187" s="1941"/>
      <c r="R187" s="1941"/>
      <c r="V187" s="1940"/>
      <c r="W187" s="1940"/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78.5" hidden="1" thickBot="1" x14ac:dyDescent="0.3">
      <c r="A188" s="1"/>
      <c r="B188" s="191" t="s">
        <v>775</v>
      </c>
      <c r="C188" s="9"/>
      <c r="D188" s="9" t="s">
        <v>295</v>
      </c>
      <c r="E188" s="9" t="s">
        <v>62</v>
      </c>
      <c r="F188" s="34" t="s">
        <v>325</v>
      </c>
      <c r="G188" s="9"/>
      <c r="H188" s="9"/>
      <c r="I188" s="9" t="s">
        <v>62</v>
      </c>
      <c r="J188" s="1065">
        <f>J189</f>
        <v>330</v>
      </c>
      <c r="K188" s="1065"/>
      <c r="L188" s="1065">
        <f t="shared" ref="L188:R188" si="134">L189</f>
        <v>330</v>
      </c>
      <c r="M188" s="1065">
        <f t="shared" si="134"/>
        <v>335</v>
      </c>
      <c r="N188" s="1938">
        <f t="shared" si="134"/>
        <v>330</v>
      </c>
      <c r="O188" s="1939">
        <f t="shared" si="134"/>
        <v>330</v>
      </c>
      <c r="P188" s="1939">
        <f t="shared" si="134"/>
        <v>330</v>
      </c>
      <c r="Q188" s="1939">
        <f t="shared" si="134"/>
        <v>330</v>
      </c>
      <c r="R188" s="1939">
        <f t="shared" si="134"/>
        <v>330</v>
      </c>
      <c r="V188" s="1938">
        <f t="shared" ref="V188:W188" si="135">V189</f>
        <v>330</v>
      </c>
      <c r="W188" s="1938">
        <f t="shared" si="135"/>
        <v>330</v>
      </c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92.25" hidden="1" customHeight="1" x14ac:dyDescent="0.25">
      <c r="A189" s="1"/>
      <c r="B189" s="76" t="s">
        <v>776</v>
      </c>
      <c r="C189" s="9"/>
      <c r="D189" s="9" t="s">
        <v>295</v>
      </c>
      <c r="E189" s="9" t="s">
        <v>62</v>
      </c>
      <c r="F189" s="9" t="s">
        <v>323</v>
      </c>
      <c r="G189" s="9"/>
      <c r="H189" s="9"/>
      <c r="I189" s="9" t="s">
        <v>62</v>
      </c>
      <c r="J189" s="1063">
        <f>J190</f>
        <v>330</v>
      </c>
      <c r="K189" s="1063"/>
      <c r="L189" s="1063">
        <f>L190</f>
        <v>330</v>
      </c>
      <c r="M189" s="1063">
        <v>335</v>
      </c>
      <c r="N189" s="1940">
        <f>N190</f>
        <v>330</v>
      </c>
      <c r="O189" s="1941">
        <f>O190</f>
        <v>330</v>
      </c>
      <c r="P189" s="1941">
        <f>P190</f>
        <v>330</v>
      </c>
      <c r="Q189" s="1941">
        <f>Q190</f>
        <v>330</v>
      </c>
      <c r="R189" s="1941">
        <f>R190</f>
        <v>330</v>
      </c>
      <c r="V189" s="1940">
        <f>V190</f>
        <v>330</v>
      </c>
      <c r="W189" s="1940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3.9" hidden="1" customHeight="1" x14ac:dyDescent="0.3">
      <c r="A190" s="1"/>
      <c r="B190" s="744" t="s">
        <v>16</v>
      </c>
      <c r="C190" s="9"/>
      <c r="D190" s="9" t="s">
        <v>295</v>
      </c>
      <c r="E190" s="9" t="s">
        <v>62</v>
      </c>
      <c r="F190" s="9" t="s">
        <v>323</v>
      </c>
      <c r="G190" s="9" t="s">
        <v>1</v>
      </c>
      <c r="H190" s="9"/>
      <c r="I190" s="9" t="s">
        <v>62</v>
      </c>
      <c r="J190" s="1063">
        <v>330</v>
      </c>
      <c r="K190" s="1063"/>
      <c r="L190" s="1063">
        <v>330</v>
      </c>
      <c r="M190" s="1063">
        <v>330</v>
      </c>
      <c r="N190" s="1940">
        <v>330</v>
      </c>
      <c r="O190" s="1941">
        <v>330</v>
      </c>
      <c r="P190" s="1941">
        <v>330</v>
      </c>
      <c r="Q190" s="1941">
        <v>330</v>
      </c>
      <c r="R190" s="1941">
        <v>330</v>
      </c>
      <c r="V190" s="1940">
        <v>330</v>
      </c>
      <c r="W190" s="1940"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" hidden="1" thickBot="1" x14ac:dyDescent="0.3">
      <c r="A191" s="1"/>
      <c r="B191" s="6"/>
      <c r="C191" s="5"/>
      <c r="D191" s="4"/>
      <c r="E191" s="4"/>
      <c r="F191" s="4"/>
      <c r="G191" s="4"/>
      <c r="H191" s="4"/>
      <c r="I191" s="4"/>
      <c r="J191" s="1045"/>
      <c r="K191" s="1045"/>
      <c r="L191" s="1045"/>
      <c r="M191" s="1045"/>
      <c r="N191" s="1905"/>
      <c r="O191" s="1906"/>
      <c r="P191" s="1906"/>
      <c r="Q191" s="1906"/>
      <c r="R191" s="1906"/>
      <c r="V191" s="1905"/>
      <c r="W191" s="1905"/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" hidden="1" thickBot="1" x14ac:dyDescent="0.3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1905"/>
      <c r="O192" s="1906"/>
      <c r="P192" s="1906"/>
      <c r="Q192" s="1906"/>
      <c r="R192" s="1906"/>
      <c r="V192" s="1905"/>
      <c r="W192" s="1905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" hidden="1" thickBot="1" x14ac:dyDescent="0.3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1905"/>
      <c r="O193" s="1906"/>
      <c r="P193" s="1906"/>
      <c r="Q193" s="1906"/>
      <c r="R193" s="1906"/>
      <c r="V193" s="1905"/>
      <c r="W193" s="1905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45" x14ac:dyDescent="0.25">
      <c r="A194" s="190"/>
      <c r="B194" s="189" t="s">
        <v>322</v>
      </c>
      <c r="C194" s="188"/>
      <c r="D194" s="187"/>
      <c r="E194" s="187"/>
      <c r="F194" s="186" t="s">
        <v>321</v>
      </c>
      <c r="G194" s="186" t="s">
        <v>320</v>
      </c>
      <c r="H194" s="186" t="s">
        <v>777</v>
      </c>
      <c r="I194" s="186" t="s">
        <v>778</v>
      </c>
      <c r="J194" s="1080" t="s">
        <v>319</v>
      </c>
      <c r="K194" s="1081"/>
      <c r="L194" s="1965" t="s">
        <v>318</v>
      </c>
      <c r="M194" s="1966" t="s">
        <v>317</v>
      </c>
      <c r="N194" s="1967" t="s">
        <v>844</v>
      </c>
      <c r="O194" s="1968" t="s">
        <v>779</v>
      </c>
      <c r="P194" s="1969" t="s">
        <v>315</v>
      </c>
      <c r="Q194" s="1970" t="s">
        <v>844</v>
      </c>
      <c r="R194" s="1971" t="s">
        <v>899</v>
      </c>
      <c r="V194" s="1967" t="s">
        <v>899</v>
      </c>
      <c r="W194" s="1967" t="s">
        <v>997</v>
      </c>
      <c r="X194" s="2082">
        <f>X195-N195</f>
        <v>-8157.9649999999965</v>
      </c>
      <c r="Y194" s="2286">
        <f>Y195-V195</f>
        <v>0</v>
      </c>
      <c r="Z194" s="237">
        <f>Z195-W195</f>
        <v>0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5" x14ac:dyDescent="0.25">
      <c r="A195" s="32"/>
      <c r="B195" s="1973" t="s">
        <v>314</v>
      </c>
      <c r="C195" s="179"/>
      <c r="D195" s="178"/>
      <c r="E195" s="178"/>
      <c r="F195" s="94"/>
      <c r="G195" s="94"/>
      <c r="H195" s="94"/>
      <c r="I195" s="94"/>
      <c r="J195" s="1082">
        <f>J196+J434</f>
        <v>72325.900000000009</v>
      </c>
      <c r="K195" s="1083"/>
      <c r="L195" s="1084">
        <f t="shared" ref="L195:R195" si="136">L196+L434</f>
        <v>70391</v>
      </c>
      <c r="M195" s="1548">
        <f t="shared" si="136"/>
        <v>70022.100000000006</v>
      </c>
      <c r="N195" s="1974">
        <f t="shared" si="136"/>
        <v>115161.018</v>
      </c>
      <c r="O195" s="1975">
        <f t="shared" si="136"/>
        <v>75112.899000000005</v>
      </c>
      <c r="P195" s="1976">
        <f t="shared" si="136"/>
        <v>75716.578999999998</v>
      </c>
      <c r="Q195" s="1977">
        <f t="shared" si="136"/>
        <v>90967.686999999991</v>
      </c>
      <c r="R195" s="1978">
        <f t="shared" si="136"/>
        <v>92889.06</v>
      </c>
      <c r="V195" s="1974">
        <f>V196+V434</f>
        <v>103816.58600000001</v>
      </c>
      <c r="W195" s="1974">
        <f>W196+W434</f>
        <v>102465.55499999999</v>
      </c>
      <c r="X195" s="2284">
        <v>107003.053</v>
      </c>
      <c r="Y195" s="2285">
        <v>103816.586</v>
      </c>
      <c r="Z195" s="2285">
        <v>102465.55499999999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" x14ac:dyDescent="0.25">
      <c r="A196" s="32"/>
      <c r="B196" s="1979" t="s">
        <v>313</v>
      </c>
      <c r="C196" s="179"/>
      <c r="D196" s="178"/>
      <c r="E196" s="178"/>
      <c r="F196" s="94"/>
      <c r="G196" s="94"/>
      <c r="H196" s="94"/>
      <c r="I196" s="94"/>
      <c r="J196" s="1084">
        <f>J197+J216+J228+J266+J289+J317+J332+J410</f>
        <v>25287.312000000002</v>
      </c>
      <c r="K196" s="1083"/>
      <c r="L196" s="1084">
        <f>L197+L216+L228+L266+L289+L317+L332+L410</f>
        <v>42242.735000000001</v>
      </c>
      <c r="M196" s="1548">
        <f>M197+M216+M228+M266+M289+M317+M332+M410</f>
        <v>40917.551999999996</v>
      </c>
      <c r="N196" s="1974">
        <f>N197+N216+N228+N266+N289+N317+N332+N348+N382+N390+N396+N420+N426</f>
        <v>71560.823999999993</v>
      </c>
      <c r="O196" s="1980">
        <f>O410+O348+O332+O317+O289+O266+O228+O216+O197</f>
        <v>52691.074000000001</v>
      </c>
      <c r="P196" s="1980">
        <f>P410+P348+P332+P317+P289+P266+P228+P216+P197</f>
        <v>51839.148999999998</v>
      </c>
      <c r="Q196" s="1981">
        <f>Q410+Q348+Q332+Q317+Q289+Q266+Q228+Q216+Q197+Q363+Q396</f>
        <v>60949.109999999993</v>
      </c>
      <c r="R196" s="1978">
        <f>R410+R348+R332+R317+R289+R266+R228+R216+R197+R363+R396</f>
        <v>62699.311000000002</v>
      </c>
      <c r="V196" s="1974">
        <f>V307+V432+V425+V406+V395+V389+V362+V359+V342+V337+V331+V323+V316+V300+V295+V288+V281+V276+V265+V258+V253+V250+V247+V240+V236+V227+V215+V210</f>
        <v>62181.781999999999</v>
      </c>
      <c r="W196" s="1974">
        <f>W307+W432+W425+W406+W395+W389+W362+W359+W342+W337+W331+W323+W316+W300+W295+W288+W281+W276+W265+W258+W253+W250+W247+W240+W236+W227+W215+W210</f>
        <v>62653.656999999992</v>
      </c>
      <c r="X196" s="1972"/>
      <c r="Y196" s="1"/>
      <c r="Z196" s="237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48" customHeight="1" x14ac:dyDescent="0.25">
      <c r="A197" s="91">
        <v>1</v>
      </c>
      <c r="B197" s="126" t="s">
        <v>906</v>
      </c>
      <c r="C197" s="9"/>
      <c r="D197" s="9" t="s">
        <v>295</v>
      </c>
      <c r="E197" s="9" t="s">
        <v>62</v>
      </c>
      <c r="F197" s="34" t="s">
        <v>311</v>
      </c>
      <c r="G197" s="175"/>
      <c r="H197" s="175"/>
      <c r="I197" s="9"/>
      <c r="J197" s="1085">
        <f>J200+J205</f>
        <v>330</v>
      </c>
      <c r="K197" s="1079"/>
      <c r="L197" s="1079">
        <f t="shared" ref="L197:R197" si="137">L200+L205</f>
        <v>3930</v>
      </c>
      <c r="M197" s="1549">
        <f t="shared" si="137"/>
        <v>1185</v>
      </c>
      <c r="N197" s="1982">
        <f>N205</f>
        <v>1650</v>
      </c>
      <c r="O197" s="1983">
        <f t="shared" si="137"/>
        <v>450</v>
      </c>
      <c r="P197" s="1983">
        <f t="shared" si="137"/>
        <v>500</v>
      </c>
      <c r="Q197" s="1984">
        <f t="shared" si="137"/>
        <v>650</v>
      </c>
      <c r="R197" s="1985">
        <f t="shared" si="137"/>
        <v>700</v>
      </c>
      <c r="V197" s="1982">
        <f>V205</f>
        <v>1700</v>
      </c>
      <c r="W197" s="1982">
        <f>W205</f>
        <v>1750</v>
      </c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52" hidden="1" x14ac:dyDescent="0.25">
      <c r="A198" s="32"/>
      <c r="B198" s="157" t="s">
        <v>771</v>
      </c>
      <c r="C198" s="9"/>
      <c r="D198" s="9" t="s">
        <v>295</v>
      </c>
      <c r="E198" s="9" t="s">
        <v>62</v>
      </c>
      <c r="F198" s="9" t="s">
        <v>309</v>
      </c>
      <c r="G198" s="9"/>
      <c r="H198" s="9"/>
      <c r="I198" s="9"/>
      <c r="J198" s="1061"/>
      <c r="K198" s="1061"/>
      <c r="L198" s="1061"/>
      <c r="M198" s="1550"/>
      <c r="N198" s="1986"/>
      <c r="O198" s="1947"/>
      <c r="P198" s="1941"/>
      <c r="Q198" s="1987"/>
      <c r="R198" s="1988"/>
      <c r="V198" s="1986"/>
      <c r="W198" s="1986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2" hidden="1" x14ac:dyDescent="0.25">
      <c r="A199" s="32"/>
      <c r="B199" s="49" t="s">
        <v>772</v>
      </c>
      <c r="C199" s="9"/>
      <c r="D199" s="9" t="s">
        <v>295</v>
      </c>
      <c r="E199" s="9" t="s">
        <v>62</v>
      </c>
      <c r="F199" s="9" t="s">
        <v>307</v>
      </c>
      <c r="G199" s="9"/>
      <c r="H199" s="9"/>
      <c r="I199" s="9"/>
      <c r="J199" s="1061"/>
      <c r="K199" s="1061"/>
      <c r="L199" s="1061"/>
      <c r="M199" s="1550"/>
      <c r="N199" s="1986"/>
      <c r="O199" s="1947"/>
      <c r="P199" s="1941"/>
      <c r="Q199" s="1987"/>
      <c r="R199" s="1988"/>
      <c r="V199" s="1986"/>
      <c r="W199" s="1986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78" hidden="1" x14ac:dyDescent="0.3">
      <c r="A200" s="32"/>
      <c r="B200" s="157" t="s">
        <v>780</v>
      </c>
      <c r="C200" s="9"/>
      <c r="D200" s="9" t="s">
        <v>295</v>
      </c>
      <c r="E200" s="9" t="s">
        <v>62</v>
      </c>
      <c r="F200" s="34" t="s">
        <v>305</v>
      </c>
      <c r="G200" s="9"/>
      <c r="H200" s="9"/>
      <c r="I200" s="9"/>
      <c r="J200" s="1059">
        <f>J201</f>
        <v>0</v>
      </c>
      <c r="K200" s="1059"/>
      <c r="L200" s="1059">
        <f t="shared" ref="L200:R201" si="138">L201</f>
        <v>3600</v>
      </c>
      <c r="M200" s="1551">
        <f t="shared" si="138"/>
        <v>850</v>
      </c>
      <c r="N200" s="1989">
        <f t="shared" si="138"/>
        <v>0</v>
      </c>
      <c r="O200" s="1990">
        <f t="shared" si="138"/>
        <v>0</v>
      </c>
      <c r="P200" s="1934">
        <f t="shared" si="138"/>
        <v>0</v>
      </c>
      <c r="Q200" s="1991">
        <f t="shared" si="138"/>
        <v>0</v>
      </c>
      <c r="R200" s="1992">
        <f t="shared" si="138"/>
        <v>0</v>
      </c>
      <c r="S200" s="1089"/>
      <c r="T200" s="1089"/>
      <c r="V200" s="1989">
        <f t="shared" ref="V200:W201" si="139">V201</f>
        <v>0</v>
      </c>
      <c r="W200" s="1989">
        <f t="shared" si="139"/>
        <v>0</v>
      </c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91" hidden="1" x14ac:dyDescent="0.3">
      <c r="A201" s="32"/>
      <c r="B201" s="49" t="s">
        <v>781</v>
      </c>
      <c r="C201" s="9"/>
      <c r="D201" s="9" t="s">
        <v>295</v>
      </c>
      <c r="E201" s="9" t="s">
        <v>62</v>
      </c>
      <c r="F201" s="9" t="s">
        <v>301</v>
      </c>
      <c r="G201" s="9"/>
      <c r="H201" s="9"/>
      <c r="I201" s="9"/>
      <c r="J201" s="1061">
        <f>J202</f>
        <v>0</v>
      </c>
      <c r="K201" s="1061"/>
      <c r="L201" s="1061">
        <f t="shared" si="138"/>
        <v>3600</v>
      </c>
      <c r="M201" s="1550">
        <f t="shared" si="138"/>
        <v>850</v>
      </c>
      <c r="N201" s="1986">
        <f t="shared" si="138"/>
        <v>0</v>
      </c>
      <c r="O201" s="1947">
        <f t="shared" si="138"/>
        <v>0</v>
      </c>
      <c r="P201" s="1941">
        <f t="shared" si="138"/>
        <v>0</v>
      </c>
      <c r="Q201" s="1987">
        <f t="shared" si="138"/>
        <v>0</v>
      </c>
      <c r="R201" s="1988">
        <f t="shared" si="138"/>
        <v>0</v>
      </c>
      <c r="S201" s="1089"/>
      <c r="T201" s="1089"/>
      <c r="V201" s="1986">
        <f t="shared" si="139"/>
        <v>0</v>
      </c>
      <c r="W201" s="1986">
        <f t="shared" si="139"/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6" hidden="1" x14ac:dyDescent="0.3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301</v>
      </c>
      <c r="G202" s="9" t="s">
        <v>1</v>
      </c>
      <c r="H202" s="9"/>
      <c r="I202" s="9"/>
      <c r="J202" s="1061">
        <f>J204</f>
        <v>0</v>
      </c>
      <c r="K202" s="1061"/>
      <c r="L202" s="1061">
        <v>3600</v>
      </c>
      <c r="M202" s="1550">
        <v>850</v>
      </c>
      <c r="N202" s="1986">
        <f>N204</f>
        <v>0</v>
      </c>
      <c r="O202" s="1947">
        <f>O204</f>
        <v>0</v>
      </c>
      <c r="P202" s="1941">
        <f>P204</f>
        <v>0</v>
      </c>
      <c r="Q202" s="1987">
        <f>Q204</f>
        <v>0</v>
      </c>
      <c r="R202" s="1988">
        <f>R204</f>
        <v>0</v>
      </c>
      <c r="S202" s="1089"/>
      <c r="T202" s="1089"/>
      <c r="V202" s="1986">
        <f>V204</f>
        <v>0</v>
      </c>
      <c r="W202" s="1986">
        <f>W204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52" hidden="1" x14ac:dyDescent="0.3">
      <c r="A203" s="32"/>
      <c r="B203" s="49" t="s">
        <v>303</v>
      </c>
      <c r="C203" s="9"/>
      <c r="D203" s="9" t="s">
        <v>295</v>
      </c>
      <c r="E203" s="9" t="s">
        <v>62</v>
      </c>
      <c r="F203" s="9" t="s">
        <v>302</v>
      </c>
      <c r="G203" s="9"/>
      <c r="H203" s="9"/>
      <c r="I203" s="9" t="s">
        <v>62</v>
      </c>
      <c r="J203" s="1063"/>
      <c r="K203" s="1063"/>
      <c r="L203" s="1063"/>
      <c r="M203" s="1125"/>
      <c r="N203" s="1986"/>
      <c r="O203" s="1947"/>
      <c r="P203" s="1941"/>
      <c r="Q203" s="1987"/>
      <c r="R203" s="1988"/>
      <c r="S203" s="1089"/>
      <c r="T203" s="1089"/>
      <c r="V203" s="1986"/>
      <c r="W203" s="1986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15" hidden="1" x14ac:dyDescent="0.3">
      <c r="A204" s="32"/>
      <c r="B204" s="49" t="s">
        <v>64</v>
      </c>
      <c r="C204" s="9"/>
      <c r="D204" s="9"/>
      <c r="E204" s="9"/>
      <c r="F204" s="9" t="s">
        <v>301</v>
      </c>
      <c r="G204" s="9" t="s">
        <v>1</v>
      </c>
      <c r="H204" s="9" t="s">
        <v>464</v>
      </c>
      <c r="I204" s="9" t="s">
        <v>463</v>
      </c>
      <c r="J204" s="1061"/>
      <c r="K204" s="1061"/>
      <c r="L204" s="1061">
        <v>3600</v>
      </c>
      <c r="M204" s="1550">
        <v>850</v>
      </c>
      <c r="N204" s="1986"/>
      <c r="O204" s="1947"/>
      <c r="P204" s="1941"/>
      <c r="Q204" s="1987"/>
      <c r="R204" s="1988"/>
      <c r="S204" s="1089"/>
      <c r="T204" s="1089"/>
      <c r="V204" s="1986"/>
      <c r="W204" s="1986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39" x14ac:dyDescent="0.3">
      <c r="A205" s="32"/>
      <c r="B205" s="157" t="s">
        <v>300</v>
      </c>
      <c r="C205" s="9"/>
      <c r="D205" s="9" t="s">
        <v>295</v>
      </c>
      <c r="E205" s="9" t="s">
        <v>62</v>
      </c>
      <c r="F205" s="9" t="s">
        <v>299</v>
      </c>
      <c r="G205" s="9"/>
      <c r="H205" s="9"/>
      <c r="I205" s="9"/>
      <c r="J205" s="1065">
        <f>J206</f>
        <v>330</v>
      </c>
      <c r="K205" s="1065"/>
      <c r="L205" s="1065">
        <f t="shared" ref="L205:R205" si="140">L206</f>
        <v>330</v>
      </c>
      <c r="M205" s="1552">
        <f t="shared" si="140"/>
        <v>335</v>
      </c>
      <c r="N205" s="1982">
        <f>N206+N211</f>
        <v>1650</v>
      </c>
      <c r="O205" s="1994">
        <f t="shared" si="140"/>
        <v>450</v>
      </c>
      <c r="P205" s="1939">
        <f t="shared" si="140"/>
        <v>500</v>
      </c>
      <c r="Q205" s="1995">
        <f t="shared" si="140"/>
        <v>650</v>
      </c>
      <c r="R205" s="1985">
        <f t="shared" si="140"/>
        <v>700</v>
      </c>
      <c r="S205" s="1089"/>
      <c r="T205" s="1089"/>
      <c r="V205" s="1982">
        <f t="shared" ref="V205:W205" si="141">V206+V211</f>
        <v>1700</v>
      </c>
      <c r="W205" s="1982">
        <f t="shared" si="141"/>
        <v>1750</v>
      </c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26" x14ac:dyDescent="0.25">
      <c r="A206" s="32"/>
      <c r="B206" s="1092" t="s">
        <v>298</v>
      </c>
      <c r="C206" s="9"/>
      <c r="D206" s="9" t="s">
        <v>295</v>
      </c>
      <c r="E206" s="9" t="s">
        <v>62</v>
      </c>
      <c r="F206" s="9" t="s">
        <v>297</v>
      </c>
      <c r="G206" s="9"/>
      <c r="H206" s="9"/>
      <c r="I206" s="9"/>
      <c r="J206" s="1063">
        <f>J209</f>
        <v>330</v>
      </c>
      <c r="K206" s="1063"/>
      <c r="L206" s="1063">
        <f>L209</f>
        <v>330</v>
      </c>
      <c r="M206" s="1125">
        <v>335</v>
      </c>
      <c r="N206" s="1986">
        <f>N207</f>
        <v>650</v>
      </c>
      <c r="O206" s="1947">
        <f t="shared" ref="O206:R207" si="142">O209</f>
        <v>450</v>
      </c>
      <c r="P206" s="1941">
        <f t="shared" si="142"/>
        <v>500</v>
      </c>
      <c r="Q206" s="1987">
        <f t="shared" si="142"/>
        <v>650</v>
      </c>
      <c r="R206" s="1988">
        <f t="shared" si="142"/>
        <v>700</v>
      </c>
      <c r="V206" s="1986">
        <f t="shared" ref="V206:W209" si="143">V207</f>
        <v>700</v>
      </c>
      <c r="W206" s="1986">
        <f t="shared" si="143"/>
        <v>750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6" x14ac:dyDescent="0.25">
      <c r="A207" s="32"/>
      <c r="B207" s="49" t="s">
        <v>296</v>
      </c>
      <c r="C207" s="9"/>
      <c r="D207" s="9" t="s">
        <v>295</v>
      </c>
      <c r="E207" s="9" t="s">
        <v>62</v>
      </c>
      <c r="F207" s="9" t="s">
        <v>294</v>
      </c>
      <c r="G207" s="9"/>
      <c r="H207" s="9"/>
      <c r="I207" s="9"/>
      <c r="J207" s="1063">
        <f>J210</f>
        <v>330</v>
      </c>
      <c r="K207" s="1063"/>
      <c r="L207" s="1063"/>
      <c r="M207" s="1125"/>
      <c r="N207" s="1986">
        <f>N209</f>
        <v>650</v>
      </c>
      <c r="O207" s="1947">
        <f t="shared" si="142"/>
        <v>450</v>
      </c>
      <c r="P207" s="1941">
        <f t="shared" si="142"/>
        <v>500</v>
      </c>
      <c r="Q207" s="1987">
        <f t="shared" si="142"/>
        <v>650</v>
      </c>
      <c r="R207" s="1988">
        <f t="shared" si="142"/>
        <v>700</v>
      </c>
      <c r="V207" s="1986">
        <f>V209</f>
        <v>700</v>
      </c>
      <c r="W207" s="1986">
        <f>W209</f>
        <v>750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6" x14ac:dyDescent="0.25">
      <c r="A208" s="32"/>
      <c r="B208" s="49" t="s">
        <v>1048</v>
      </c>
      <c r="C208" s="9"/>
      <c r="D208" s="9"/>
      <c r="E208" s="9"/>
      <c r="F208" s="9" t="s">
        <v>294</v>
      </c>
      <c r="G208" s="9" t="s">
        <v>955</v>
      </c>
      <c r="H208" s="9"/>
      <c r="I208" s="9"/>
      <c r="J208" s="1063"/>
      <c r="K208" s="1063"/>
      <c r="L208" s="1063"/>
      <c r="M208" s="1125"/>
      <c r="N208" s="1986">
        <f>N209</f>
        <v>650</v>
      </c>
      <c r="O208" s="1947"/>
      <c r="P208" s="1941"/>
      <c r="Q208" s="1987"/>
      <c r="R208" s="1988"/>
      <c r="V208" s="1986">
        <f>V209</f>
        <v>700</v>
      </c>
      <c r="W208" s="1986">
        <f>W209</f>
        <v>750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5.15" customHeight="1" x14ac:dyDescent="0.25">
      <c r="A209" s="32"/>
      <c r="B209" s="1993" t="s">
        <v>4</v>
      </c>
      <c r="C209" s="9"/>
      <c r="D209" s="9" t="s">
        <v>295</v>
      </c>
      <c r="E209" s="9" t="s">
        <v>62</v>
      </c>
      <c r="F209" s="9" t="s">
        <v>294</v>
      </c>
      <c r="G209" s="9" t="s">
        <v>1</v>
      </c>
      <c r="H209" s="9"/>
      <c r="I209" s="9"/>
      <c r="J209" s="1063">
        <f>J210</f>
        <v>330</v>
      </c>
      <c r="K209" s="1063"/>
      <c r="L209" s="1063">
        <v>330</v>
      </c>
      <c r="M209" s="1125">
        <v>330</v>
      </c>
      <c r="N209" s="1986">
        <f>N210</f>
        <v>650</v>
      </c>
      <c r="O209" s="1947">
        <f>O210</f>
        <v>450</v>
      </c>
      <c r="P209" s="1941">
        <f>P210</f>
        <v>500</v>
      </c>
      <c r="Q209" s="1987">
        <f>Q210</f>
        <v>650</v>
      </c>
      <c r="R209" s="1988">
        <f>R210</f>
        <v>700</v>
      </c>
      <c r="V209" s="1986">
        <f t="shared" si="143"/>
        <v>700</v>
      </c>
      <c r="W209" s="1986">
        <f t="shared" si="143"/>
        <v>750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ht="13.9" customHeight="1" x14ac:dyDescent="0.25">
      <c r="A210" s="32"/>
      <c r="B210" s="49" t="s">
        <v>64</v>
      </c>
      <c r="C210" s="9"/>
      <c r="D210" s="9"/>
      <c r="E210" s="9"/>
      <c r="F210" s="9" t="s">
        <v>294</v>
      </c>
      <c r="G210" s="9" t="s">
        <v>1</v>
      </c>
      <c r="H210" s="9" t="s">
        <v>464</v>
      </c>
      <c r="I210" s="9" t="s">
        <v>463</v>
      </c>
      <c r="J210" s="1063">
        <v>330</v>
      </c>
      <c r="K210" s="1063"/>
      <c r="L210" s="1063">
        <v>330</v>
      </c>
      <c r="M210" s="1125">
        <v>330</v>
      </c>
      <c r="N210" s="1986">
        <f>650</f>
        <v>650</v>
      </c>
      <c r="O210" s="1947">
        <v>450</v>
      </c>
      <c r="P210" s="1941">
        <v>500</v>
      </c>
      <c r="Q210" s="1987">
        <v>650</v>
      </c>
      <c r="R210" s="1988">
        <v>700</v>
      </c>
      <c r="V210" s="1986">
        <f>700</f>
        <v>700</v>
      </c>
      <c r="W210" s="1986">
        <f>750</f>
        <v>750</v>
      </c>
    </row>
    <row r="211" spans="1:256" ht="41.15" customHeight="1" x14ac:dyDescent="0.25">
      <c r="A211" s="32"/>
      <c r="B211" s="49" t="s">
        <v>1057</v>
      </c>
      <c r="C211" s="9"/>
      <c r="D211" s="9"/>
      <c r="E211" s="9"/>
      <c r="F211" s="9" t="s">
        <v>472</v>
      </c>
      <c r="G211" s="9"/>
      <c r="H211" s="9"/>
      <c r="I211" s="9"/>
      <c r="J211" s="1063"/>
      <c r="K211" s="1063"/>
      <c r="L211" s="1063"/>
      <c r="M211" s="1125"/>
      <c r="N211" s="1986">
        <f>N212</f>
        <v>1000</v>
      </c>
      <c r="O211" s="1947"/>
      <c r="P211" s="1941"/>
      <c r="Q211" s="1987"/>
      <c r="R211" s="1988"/>
      <c r="V211" s="1986">
        <f t="shared" ref="V211:W214" si="144">V212</f>
        <v>1000</v>
      </c>
      <c r="W211" s="1986">
        <f t="shared" si="144"/>
        <v>1000</v>
      </c>
    </row>
    <row r="212" spans="1:256" ht="13.9" customHeight="1" x14ac:dyDescent="0.25">
      <c r="A212" s="32"/>
      <c r="B212" s="49" t="s">
        <v>1058</v>
      </c>
      <c r="C212" s="9"/>
      <c r="D212" s="9"/>
      <c r="E212" s="9"/>
      <c r="F212" s="9" t="s">
        <v>1056</v>
      </c>
      <c r="G212" s="9"/>
      <c r="H212" s="9"/>
      <c r="I212" s="9"/>
      <c r="J212" s="1063"/>
      <c r="K212" s="1063"/>
      <c r="L212" s="1063"/>
      <c r="M212" s="1125"/>
      <c r="N212" s="1986">
        <f>N214</f>
        <v>1000</v>
      </c>
      <c r="O212" s="1947"/>
      <c r="P212" s="1941"/>
      <c r="Q212" s="1987"/>
      <c r="R212" s="1988"/>
      <c r="V212" s="1986">
        <f>V214</f>
        <v>1000</v>
      </c>
      <c r="W212" s="1986">
        <f>W214</f>
        <v>1000</v>
      </c>
    </row>
    <row r="213" spans="1:256" ht="23.15" customHeight="1" x14ac:dyDescent="0.25">
      <c r="A213" s="32"/>
      <c r="B213" s="49" t="s">
        <v>1061</v>
      </c>
      <c r="C213" s="9"/>
      <c r="D213" s="9"/>
      <c r="E213" s="9"/>
      <c r="F213" s="9" t="s">
        <v>1056</v>
      </c>
      <c r="G213" s="9" t="s">
        <v>1060</v>
      </c>
      <c r="H213" s="9"/>
      <c r="I213" s="9"/>
      <c r="J213" s="1063"/>
      <c r="K213" s="1063"/>
      <c r="L213" s="1063"/>
      <c r="M213" s="1125"/>
      <c r="N213" s="1986">
        <f>N214</f>
        <v>1000</v>
      </c>
      <c r="O213" s="1947"/>
      <c r="P213" s="1941"/>
      <c r="Q213" s="1987"/>
      <c r="R213" s="1988"/>
      <c r="V213" s="1986">
        <f>V214</f>
        <v>1000</v>
      </c>
      <c r="W213" s="1986">
        <f>W214</f>
        <v>1000</v>
      </c>
    </row>
    <row r="214" spans="1:256" ht="13.9" customHeight="1" x14ac:dyDescent="0.25">
      <c r="A214" s="32"/>
      <c r="B214" s="58" t="s">
        <v>28</v>
      </c>
      <c r="C214" s="9"/>
      <c r="D214" s="9"/>
      <c r="E214" s="9"/>
      <c r="F214" s="9" t="s">
        <v>1056</v>
      </c>
      <c r="G214" s="9" t="s">
        <v>26</v>
      </c>
      <c r="H214" s="9"/>
      <c r="I214" s="9"/>
      <c r="J214" s="1063"/>
      <c r="K214" s="1063"/>
      <c r="L214" s="1063"/>
      <c r="M214" s="1125"/>
      <c r="N214" s="1986">
        <f>N215</f>
        <v>1000</v>
      </c>
      <c r="O214" s="1947"/>
      <c r="P214" s="1941"/>
      <c r="Q214" s="1987"/>
      <c r="R214" s="1988"/>
      <c r="V214" s="1986">
        <f t="shared" si="144"/>
        <v>1000</v>
      </c>
      <c r="W214" s="1986">
        <f t="shared" si="144"/>
        <v>1000</v>
      </c>
    </row>
    <row r="215" spans="1:256" ht="13.9" customHeight="1" x14ac:dyDescent="0.25">
      <c r="A215" s="32"/>
      <c r="B215" s="49" t="s">
        <v>64</v>
      </c>
      <c r="C215" s="9"/>
      <c r="D215" s="9"/>
      <c r="E215" s="9"/>
      <c r="F215" s="9" t="s">
        <v>1056</v>
      </c>
      <c r="G215" s="9" t="s">
        <v>26</v>
      </c>
      <c r="H215" s="9" t="s">
        <v>464</v>
      </c>
      <c r="I215" s="9" t="s">
        <v>463</v>
      </c>
      <c r="J215" s="1063"/>
      <c r="K215" s="1063"/>
      <c r="L215" s="1063"/>
      <c r="M215" s="1125"/>
      <c r="N215" s="1986">
        <v>1000</v>
      </c>
      <c r="O215" s="1947"/>
      <c r="P215" s="1941"/>
      <c r="Q215" s="1987"/>
      <c r="R215" s="1988"/>
      <c r="V215" s="1986">
        <v>1000</v>
      </c>
      <c r="W215" s="1986">
        <v>1000</v>
      </c>
    </row>
    <row r="216" spans="1:256" s="83" customFormat="1" ht="51.75" customHeight="1" x14ac:dyDescent="0.3">
      <c r="A216" s="91">
        <v>2</v>
      </c>
      <c r="B216" s="52" t="s">
        <v>907</v>
      </c>
      <c r="C216" s="9"/>
      <c r="D216" s="34" t="s">
        <v>52</v>
      </c>
      <c r="E216" s="34" t="s">
        <v>49</v>
      </c>
      <c r="F216" s="34" t="s">
        <v>292</v>
      </c>
      <c r="G216" s="131"/>
      <c r="H216" s="131"/>
      <c r="I216" s="34"/>
      <c r="J216" s="51">
        <f>J218</f>
        <v>305</v>
      </c>
      <c r="K216" s="51"/>
      <c r="L216" s="51">
        <f t="shared" ref="L216:R216" si="145">L218</f>
        <v>305</v>
      </c>
      <c r="M216" s="1553">
        <f t="shared" si="145"/>
        <v>310</v>
      </c>
      <c r="N216" s="1982">
        <f t="shared" si="145"/>
        <v>330</v>
      </c>
      <c r="O216" s="1958">
        <f t="shared" si="145"/>
        <v>315</v>
      </c>
      <c r="P216" s="1944">
        <f t="shared" si="145"/>
        <v>320</v>
      </c>
      <c r="Q216" s="1996">
        <f t="shared" si="145"/>
        <v>330</v>
      </c>
      <c r="R216" s="1997">
        <f t="shared" si="145"/>
        <v>350</v>
      </c>
      <c r="S216" s="84"/>
      <c r="T216" s="84"/>
      <c r="U216" s="84"/>
      <c r="V216" s="1982">
        <f t="shared" ref="V216:W216" si="146">V218</f>
        <v>350</v>
      </c>
      <c r="W216" s="1982">
        <f t="shared" si="146"/>
        <v>370</v>
      </c>
      <c r="X216" s="84"/>
      <c r="Z216" s="2141"/>
    </row>
    <row r="217" spans="1:256" s="83" customFormat="1" ht="78" hidden="1" customHeight="1" x14ac:dyDescent="0.3">
      <c r="A217" s="85"/>
      <c r="B217" s="170" t="s">
        <v>755</v>
      </c>
      <c r="C217" s="84"/>
      <c r="D217" s="33" t="s">
        <v>52</v>
      </c>
      <c r="E217" s="33" t="s">
        <v>49</v>
      </c>
      <c r="F217" s="33" t="s">
        <v>290</v>
      </c>
      <c r="G217" s="9"/>
      <c r="H217" s="9"/>
      <c r="I217" s="33"/>
      <c r="J217" s="1065"/>
      <c r="K217" s="1065"/>
      <c r="L217" s="1065"/>
      <c r="M217" s="1552"/>
      <c r="N217" s="1982"/>
      <c r="O217" s="1994"/>
      <c r="P217" s="1939"/>
      <c r="Q217" s="1995"/>
      <c r="R217" s="1985"/>
      <c r="S217" s="84"/>
      <c r="T217" s="84"/>
      <c r="U217" s="84"/>
      <c r="V217" s="1982"/>
      <c r="W217" s="1982"/>
      <c r="X217" s="84"/>
      <c r="Z217" s="2141"/>
    </row>
    <row r="218" spans="1:256" s="83" customFormat="1" ht="55" customHeight="1" x14ac:dyDescent="0.3">
      <c r="A218" s="85"/>
      <c r="B218" s="1093" t="s">
        <v>289</v>
      </c>
      <c r="C218" s="9"/>
      <c r="D218" s="33" t="s">
        <v>52</v>
      </c>
      <c r="E218" s="33" t="s">
        <v>49</v>
      </c>
      <c r="F218" s="9" t="s">
        <v>286</v>
      </c>
      <c r="G218" s="9"/>
      <c r="H218" s="9"/>
      <c r="I218" s="33"/>
      <c r="J218" s="1063">
        <f>J221</f>
        <v>305</v>
      </c>
      <c r="K218" s="1065"/>
      <c r="L218" s="1065">
        <f t="shared" ref="L218:R218" si="147">L221</f>
        <v>305</v>
      </c>
      <c r="M218" s="1552">
        <f t="shared" si="147"/>
        <v>310</v>
      </c>
      <c r="N218" s="1986">
        <f t="shared" si="147"/>
        <v>330</v>
      </c>
      <c r="O218" s="1947">
        <f t="shared" si="147"/>
        <v>315</v>
      </c>
      <c r="P218" s="1941">
        <f t="shared" si="147"/>
        <v>320</v>
      </c>
      <c r="Q218" s="1987">
        <f t="shared" si="147"/>
        <v>330</v>
      </c>
      <c r="R218" s="1988">
        <f t="shared" si="147"/>
        <v>350</v>
      </c>
      <c r="S218" s="84"/>
      <c r="T218" s="84"/>
      <c r="U218" s="84"/>
      <c r="V218" s="1986">
        <f t="shared" ref="V218:W218" si="148">V221</f>
        <v>350</v>
      </c>
      <c r="W218" s="1986">
        <f t="shared" si="148"/>
        <v>370</v>
      </c>
      <c r="X218" s="84"/>
      <c r="Z218" s="2141"/>
    </row>
    <row r="219" spans="1:256" s="83" customFormat="1" ht="26" x14ac:dyDescent="0.3">
      <c r="A219" s="85"/>
      <c r="B219" s="1094" t="s">
        <v>287</v>
      </c>
      <c r="C219" s="9"/>
      <c r="D219" s="33"/>
      <c r="E219" s="33"/>
      <c r="F219" s="9" t="s">
        <v>286</v>
      </c>
      <c r="G219" s="9"/>
      <c r="H219" s="9"/>
      <c r="I219" s="33"/>
      <c r="J219" s="1063">
        <f>J221</f>
        <v>305</v>
      </c>
      <c r="K219" s="1065"/>
      <c r="L219" s="1065"/>
      <c r="M219" s="1552"/>
      <c r="N219" s="1986">
        <f>N221</f>
        <v>330</v>
      </c>
      <c r="O219" s="1947">
        <f>O221</f>
        <v>315</v>
      </c>
      <c r="P219" s="1941">
        <f>P221</f>
        <v>320</v>
      </c>
      <c r="Q219" s="1987">
        <f>Q221</f>
        <v>330</v>
      </c>
      <c r="R219" s="1988">
        <f>R221</f>
        <v>350</v>
      </c>
      <c r="S219" s="84"/>
      <c r="T219" s="84"/>
      <c r="U219" s="84"/>
      <c r="V219" s="1986">
        <f>V221</f>
        <v>350</v>
      </c>
      <c r="W219" s="1986">
        <f>W221</f>
        <v>370</v>
      </c>
      <c r="X219" s="84"/>
      <c r="Z219" s="2141"/>
    </row>
    <row r="220" spans="1:256" s="83" customFormat="1" ht="26" x14ac:dyDescent="0.3">
      <c r="A220" s="85"/>
      <c r="B220" s="49" t="s">
        <v>1048</v>
      </c>
      <c r="C220" s="9"/>
      <c r="D220" s="33"/>
      <c r="E220" s="33"/>
      <c r="F220" s="9" t="s">
        <v>286</v>
      </c>
      <c r="G220" s="9" t="s">
        <v>955</v>
      </c>
      <c r="H220" s="9"/>
      <c r="I220" s="33"/>
      <c r="J220" s="1063"/>
      <c r="K220" s="1065"/>
      <c r="L220" s="1065"/>
      <c r="M220" s="1552"/>
      <c r="N220" s="1986">
        <f>N221</f>
        <v>330</v>
      </c>
      <c r="O220" s="1947"/>
      <c r="P220" s="1941"/>
      <c r="Q220" s="1987"/>
      <c r="R220" s="1988"/>
      <c r="S220" s="84"/>
      <c r="T220" s="84"/>
      <c r="U220" s="84"/>
      <c r="V220" s="1986">
        <f>V221</f>
        <v>350</v>
      </c>
      <c r="W220" s="1986">
        <f>W221</f>
        <v>370</v>
      </c>
      <c r="X220" s="84"/>
      <c r="Z220" s="2141"/>
    </row>
    <row r="221" spans="1:256" s="83" customFormat="1" ht="25.15" customHeight="1" x14ac:dyDescent="0.3">
      <c r="A221" s="85"/>
      <c r="B221" s="1993" t="s">
        <v>4</v>
      </c>
      <c r="C221" s="9"/>
      <c r="D221" s="33" t="s">
        <v>52</v>
      </c>
      <c r="E221" s="33" t="s">
        <v>49</v>
      </c>
      <c r="F221" s="9" t="s">
        <v>286</v>
      </c>
      <c r="G221" s="9" t="s">
        <v>1</v>
      </c>
      <c r="H221" s="9"/>
      <c r="I221" s="33"/>
      <c r="J221" s="1063">
        <f>J227</f>
        <v>305</v>
      </c>
      <c r="K221" s="1065"/>
      <c r="L221" s="1063">
        <v>305</v>
      </c>
      <c r="M221" s="1125">
        <v>310</v>
      </c>
      <c r="N221" s="1986">
        <f>N227</f>
        <v>330</v>
      </c>
      <c r="O221" s="1947">
        <f>O227</f>
        <v>315</v>
      </c>
      <c r="P221" s="1941">
        <f>P227</f>
        <v>320</v>
      </c>
      <c r="Q221" s="1987">
        <f>Q227</f>
        <v>330</v>
      </c>
      <c r="R221" s="1988">
        <f>R227</f>
        <v>350</v>
      </c>
      <c r="S221" s="84"/>
      <c r="T221" s="84"/>
      <c r="U221" s="84"/>
      <c r="V221" s="1986">
        <f>V227</f>
        <v>350</v>
      </c>
      <c r="W221" s="1986">
        <f>W227</f>
        <v>370</v>
      </c>
      <c r="X221" s="84"/>
      <c r="Z221" s="2141"/>
    </row>
    <row r="222" spans="1:256" ht="53.5" hidden="1" customHeight="1" x14ac:dyDescent="0.25">
      <c r="A222" s="32"/>
      <c r="B222" s="52" t="s">
        <v>285</v>
      </c>
      <c r="C222" s="34"/>
      <c r="D222" s="94" t="s">
        <v>15</v>
      </c>
      <c r="E222" s="34" t="s">
        <v>9</v>
      </c>
      <c r="F222" s="34" t="s">
        <v>284</v>
      </c>
      <c r="G222" s="131"/>
      <c r="H222" s="131"/>
      <c r="I222" s="34" t="s">
        <v>9</v>
      </c>
      <c r="J222" s="131"/>
      <c r="K222" s="131"/>
      <c r="L222" s="2"/>
      <c r="M222" s="1554"/>
      <c r="N222" s="1982"/>
      <c r="O222" s="1958"/>
      <c r="P222" s="1944"/>
      <c r="Q222" s="1996"/>
      <c r="R222" s="1997"/>
      <c r="V222" s="1982"/>
      <c r="W222" s="1982"/>
    </row>
    <row r="223" spans="1:256" ht="52" hidden="1" x14ac:dyDescent="0.3">
      <c r="A223" s="32"/>
      <c r="B223" s="168" t="s">
        <v>757</v>
      </c>
      <c r="C223" s="9"/>
      <c r="D223" s="88" t="s">
        <v>15</v>
      </c>
      <c r="E223" s="9" t="s">
        <v>9</v>
      </c>
      <c r="F223" s="9" t="s">
        <v>282</v>
      </c>
      <c r="G223" s="9"/>
      <c r="H223" s="9"/>
      <c r="I223" s="9" t="s">
        <v>9</v>
      </c>
      <c r="J223" s="1058"/>
      <c r="K223" s="1058"/>
      <c r="L223" s="1058"/>
      <c r="M223" s="1555"/>
      <c r="N223" s="1989"/>
      <c r="O223" s="1990"/>
      <c r="P223" s="1934"/>
      <c r="Q223" s="1991"/>
      <c r="R223" s="1992"/>
      <c r="V223" s="1989"/>
      <c r="W223" s="1989"/>
    </row>
    <row r="224" spans="1:256" ht="81.650000000000006" hidden="1" customHeight="1" x14ac:dyDescent="0.3">
      <c r="A224" s="32"/>
      <c r="B224" s="167" t="s">
        <v>758</v>
      </c>
      <c r="C224" s="9"/>
      <c r="D224" s="88" t="s">
        <v>15</v>
      </c>
      <c r="E224" s="9" t="s">
        <v>9</v>
      </c>
      <c r="F224" s="9" t="s">
        <v>280</v>
      </c>
      <c r="G224" s="9"/>
      <c r="H224" s="9"/>
      <c r="I224" s="9" t="s">
        <v>9</v>
      </c>
      <c r="J224" s="1058"/>
      <c r="K224" s="1058"/>
      <c r="L224" s="1058"/>
      <c r="M224" s="1555"/>
      <c r="N224" s="1989"/>
      <c r="O224" s="1990"/>
      <c r="P224" s="1934"/>
      <c r="Q224" s="1991"/>
      <c r="R224" s="1992"/>
      <c r="V224" s="1989"/>
      <c r="W224" s="1989"/>
    </row>
    <row r="225" spans="1:256" ht="81" hidden="1" customHeight="1" x14ac:dyDescent="0.3">
      <c r="A225" s="32"/>
      <c r="B225" s="168" t="s">
        <v>759</v>
      </c>
      <c r="C225" s="9"/>
      <c r="D225" s="88" t="s">
        <v>15</v>
      </c>
      <c r="E225" s="9" t="s">
        <v>9</v>
      </c>
      <c r="F225" s="9" t="s">
        <v>278</v>
      </c>
      <c r="G225" s="9"/>
      <c r="H225" s="9"/>
      <c r="I225" s="9" t="s">
        <v>9</v>
      </c>
      <c r="J225" s="1065"/>
      <c r="K225" s="1065"/>
      <c r="L225" s="1065"/>
      <c r="M225" s="1552"/>
      <c r="N225" s="1982"/>
      <c r="O225" s="1994"/>
      <c r="P225" s="1939"/>
      <c r="Q225" s="1995"/>
      <c r="R225" s="1985"/>
      <c r="V225" s="1982"/>
      <c r="W225" s="1982"/>
    </row>
    <row r="226" spans="1:256" ht="52" hidden="1" x14ac:dyDescent="0.3">
      <c r="A226" s="32"/>
      <c r="B226" s="167" t="s">
        <v>760</v>
      </c>
      <c r="C226" s="9"/>
      <c r="D226" s="88" t="s">
        <v>15</v>
      </c>
      <c r="E226" s="9" t="s">
        <v>9</v>
      </c>
      <c r="F226" s="9" t="s">
        <v>276</v>
      </c>
      <c r="G226" s="9"/>
      <c r="H226" s="9"/>
      <c r="I226" s="9" t="s">
        <v>9</v>
      </c>
      <c r="J226" s="1065"/>
      <c r="K226" s="1065"/>
      <c r="L226" s="1065"/>
      <c r="M226" s="1552"/>
      <c r="N226" s="1982"/>
      <c r="O226" s="1994"/>
      <c r="P226" s="1939"/>
      <c r="Q226" s="1995"/>
      <c r="R226" s="1985"/>
      <c r="V226" s="1982"/>
      <c r="W226" s="1982"/>
    </row>
    <row r="227" spans="1:256" ht="13" x14ac:dyDescent="0.3">
      <c r="A227" s="32"/>
      <c r="B227" s="167" t="s">
        <v>51</v>
      </c>
      <c r="C227" s="9"/>
      <c r="D227" s="88"/>
      <c r="E227" s="9"/>
      <c r="F227" s="9" t="s">
        <v>275</v>
      </c>
      <c r="G227" s="9" t="s">
        <v>1</v>
      </c>
      <c r="H227" s="9" t="s">
        <v>452</v>
      </c>
      <c r="I227" s="33" t="s">
        <v>534</v>
      </c>
      <c r="J227" s="1063">
        <v>305</v>
      </c>
      <c r="K227" s="1065"/>
      <c r="L227" s="1063">
        <v>305</v>
      </c>
      <c r="M227" s="1125">
        <v>310</v>
      </c>
      <c r="N227" s="1986">
        <v>330</v>
      </c>
      <c r="O227" s="1947">
        <v>315</v>
      </c>
      <c r="P227" s="1941">
        <v>320</v>
      </c>
      <c r="Q227" s="1987">
        <v>330</v>
      </c>
      <c r="R227" s="1988">
        <v>350</v>
      </c>
      <c r="V227" s="1986">
        <v>350</v>
      </c>
      <c r="W227" s="1986">
        <v>370</v>
      </c>
    </row>
    <row r="228" spans="1:256" ht="53.25" customHeight="1" x14ac:dyDescent="0.25">
      <c r="A228" s="91">
        <v>3</v>
      </c>
      <c r="B228" s="52" t="s">
        <v>908</v>
      </c>
      <c r="C228" s="34"/>
      <c r="D228" s="34" t="s">
        <v>265</v>
      </c>
      <c r="E228" s="34" t="s">
        <v>262</v>
      </c>
      <c r="F228" s="34" t="s">
        <v>273</v>
      </c>
      <c r="G228" s="131"/>
      <c r="H228" s="131"/>
      <c r="I228" s="34"/>
      <c r="J228" s="51">
        <f>J229+J242+J259</f>
        <v>7755.5</v>
      </c>
      <c r="K228" s="51"/>
      <c r="L228" s="51">
        <f t="shared" ref="L228:R228" si="149">L229+L242+L259</f>
        <v>7755.5</v>
      </c>
      <c r="M228" s="1553">
        <f t="shared" si="149"/>
        <v>8382.5</v>
      </c>
      <c r="N228" s="1982">
        <f t="shared" si="149"/>
        <v>17116.307999999997</v>
      </c>
      <c r="O228" s="1958">
        <f t="shared" si="149"/>
        <v>8514.5999999999985</v>
      </c>
      <c r="P228" s="1944">
        <f t="shared" si="149"/>
        <v>8600</v>
      </c>
      <c r="Q228" s="1996">
        <f t="shared" si="149"/>
        <v>15553.339999999998</v>
      </c>
      <c r="R228" s="1997">
        <f t="shared" si="149"/>
        <v>16146.57</v>
      </c>
      <c r="V228" s="1982">
        <f>V229+V242+V259</f>
        <v>19386.802</v>
      </c>
      <c r="W228" s="1982">
        <f t="shared" ref="W228" si="150">W229+W242+W259</f>
        <v>18931.767</v>
      </c>
    </row>
    <row r="229" spans="1:256" ht="26" x14ac:dyDescent="0.25">
      <c r="A229" s="32"/>
      <c r="B229" s="157" t="s">
        <v>909</v>
      </c>
      <c r="C229" s="34"/>
      <c r="D229" s="34" t="s">
        <v>265</v>
      </c>
      <c r="E229" s="34" t="s">
        <v>262</v>
      </c>
      <c r="F229" s="9" t="s">
        <v>271</v>
      </c>
      <c r="G229" s="9"/>
      <c r="H229" s="9"/>
      <c r="I229" s="34"/>
      <c r="J229" s="1062">
        <f>J237</f>
        <v>272</v>
      </c>
      <c r="K229" s="1062"/>
      <c r="L229" s="1062">
        <f>L237</f>
        <v>172</v>
      </c>
      <c r="M229" s="1556">
        <f>M237</f>
        <v>184</v>
      </c>
      <c r="N229" s="1998">
        <f>N232</f>
        <v>362</v>
      </c>
      <c r="O229" s="1999">
        <f>O232</f>
        <v>302</v>
      </c>
      <c r="P229" s="1937">
        <f>P232</f>
        <v>337</v>
      </c>
      <c r="Q229" s="2000">
        <f>Q232</f>
        <v>362</v>
      </c>
      <c r="R229" s="2001">
        <f>R232</f>
        <v>377</v>
      </c>
      <c r="V229" s="1998">
        <f>V232</f>
        <v>377</v>
      </c>
      <c r="W229" s="1998">
        <f>W232</f>
        <v>392</v>
      </c>
    </row>
    <row r="230" spans="1:256" ht="75" hidden="1" customHeight="1" x14ac:dyDescent="0.25">
      <c r="A230" s="32"/>
      <c r="B230" s="90" t="s">
        <v>270</v>
      </c>
      <c r="C230" s="34"/>
      <c r="D230" s="34" t="s">
        <v>265</v>
      </c>
      <c r="E230" s="34" t="s">
        <v>262</v>
      </c>
      <c r="F230" s="9" t="s">
        <v>269</v>
      </c>
      <c r="G230" s="9"/>
      <c r="H230" s="9"/>
      <c r="I230" s="34"/>
      <c r="J230" s="1062"/>
      <c r="K230" s="1062"/>
      <c r="L230" s="1062"/>
      <c r="M230" s="1556"/>
      <c r="N230" s="1998"/>
      <c r="O230" s="1999"/>
      <c r="P230" s="1937"/>
      <c r="Q230" s="2000"/>
      <c r="R230" s="2001"/>
      <c r="V230" s="1998"/>
      <c r="W230" s="1998"/>
    </row>
    <row r="231" spans="1:256" ht="25.15" hidden="1" customHeight="1" x14ac:dyDescent="0.25">
      <c r="A231" s="32"/>
      <c r="B231" s="1993" t="s">
        <v>4</v>
      </c>
      <c r="C231" s="34"/>
      <c r="D231" s="34" t="s">
        <v>265</v>
      </c>
      <c r="E231" s="34" t="s">
        <v>262</v>
      </c>
      <c r="F231" s="9" t="s">
        <v>269</v>
      </c>
      <c r="G231" s="9" t="s">
        <v>1</v>
      </c>
      <c r="H231" s="9"/>
      <c r="I231" s="34"/>
      <c r="J231" s="1062"/>
      <c r="K231" s="1062"/>
      <c r="L231" s="1062"/>
      <c r="M231" s="1556"/>
      <c r="N231" s="1998"/>
      <c r="O231" s="1999"/>
      <c r="P231" s="1937"/>
      <c r="Q231" s="2000"/>
      <c r="R231" s="2001"/>
      <c r="V231" s="1998"/>
      <c r="W231" s="1998"/>
    </row>
    <row r="232" spans="1:256" s="2" customFormat="1" ht="25.15" customHeight="1" x14ac:dyDescent="0.25">
      <c r="A232" s="32"/>
      <c r="B232" s="1093" t="s">
        <v>268</v>
      </c>
      <c r="C232" s="34"/>
      <c r="D232" s="34"/>
      <c r="E232" s="34"/>
      <c r="F232" s="9" t="s">
        <v>267</v>
      </c>
      <c r="G232" s="9"/>
      <c r="H232" s="9"/>
      <c r="I232" s="34"/>
      <c r="J232" s="1062">
        <f>J237</f>
        <v>272</v>
      </c>
      <c r="K232" s="1062"/>
      <c r="L232" s="1062"/>
      <c r="M232" s="1556"/>
      <c r="N232" s="1998">
        <f>N237+N233</f>
        <v>362</v>
      </c>
      <c r="O232" s="1999">
        <f>O237</f>
        <v>302</v>
      </c>
      <c r="P232" s="1937">
        <f>P237</f>
        <v>337</v>
      </c>
      <c r="Q232" s="2002">
        <f t="shared" ref="Q232:R232" si="151">Q237+Q233</f>
        <v>362</v>
      </c>
      <c r="R232" s="2002">
        <f t="shared" si="151"/>
        <v>377</v>
      </c>
      <c r="V232" s="1998">
        <f>V237+V233</f>
        <v>377</v>
      </c>
      <c r="W232" s="1998">
        <f>W237+W233</f>
        <v>392</v>
      </c>
      <c r="Y232" s="1"/>
      <c r="Z232" s="237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25.15" customHeight="1" x14ac:dyDescent="0.25">
      <c r="A233" s="32"/>
      <c r="B233" s="2153" t="s">
        <v>1037</v>
      </c>
      <c r="C233" s="34"/>
      <c r="D233" s="34"/>
      <c r="E233" s="34"/>
      <c r="F233" s="9" t="s">
        <v>507</v>
      </c>
      <c r="G233" s="9"/>
      <c r="H233" s="9"/>
      <c r="I233" s="34"/>
      <c r="J233" s="1062"/>
      <c r="K233" s="1062"/>
      <c r="L233" s="1062"/>
      <c r="M233" s="1556"/>
      <c r="N233" s="1998">
        <f>N234</f>
        <v>112</v>
      </c>
      <c r="O233" s="1999"/>
      <c r="P233" s="1937"/>
      <c r="Q233" s="2000">
        <f>Q234</f>
        <v>102</v>
      </c>
      <c r="R233" s="2001">
        <f>R234</f>
        <v>107</v>
      </c>
      <c r="V233" s="1998">
        <f>V234</f>
        <v>117</v>
      </c>
      <c r="W233" s="1998">
        <f>W234</f>
        <v>122</v>
      </c>
      <c r="Y233" s="1"/>
      <c r="Z233" s="237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5.15" customHeight="1" x14ac:dyDescent="0.25">
      <c r="A234" s="32"/>
      <c r="B234" s="1993" t="s">
        <v>4</v>
      </c>
      <c r="C234" s="34"/>
      <c r="D234" s="34"/>
      <c r="E234" s="34"/>
      <c r="F234" s="9" t="s">
        <v>507</v>
      </c>
      <c r="G234" s="9"/>
      <c r="H234" s="9"/>
      <c r="I234" s="34"/>
      <c r="J234" s="1062"/>
      <c r="K234" s="1062"/>
      <c r="L234" s="1062"/>
      <c r="M234" s="1556"/>
      <c r="N234" s="1998">
        <f>N236</f>
        <v>112</v>
      </c>
      <c r="O234" s="1999"/>
      <c r="P234" s="1937"/>
      <c r="Q234" s="2000">
        <f>Q236</f>
        <v>102</v>
      </c>
      <c r="R234" s="2001">
        <f>R236</f>
        <v>107</v>
      </c>
      <c r="V234" s="1998">
        <f>V236</f>
        <v>117</v>
      </c>
      <c r="W234" s="1998">
        <f>W236</f>
        <v>122</v>
      </c>
      <c r="Y234" s="1"/>
      <c r="Z234" s="237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25.15" customHeight="1" x14ac:dyDescent="0.25">
      <c r="A235" s="32"/>
      <c r="B235" s="49" t="s">
        <v>1048</v>
      </c>
      <c r="C235" s="34"/>
      <c r="D235" s="34"/>
      <c r="E235" s="34"/>
      <c r="F235" s="9" t="s">
        <v>507</v>
      </c>
      <c r="G235" s="9" t="s">
        <v>955</v>
      </c>
      <c r="H235" s="9"/>
      <c r="I235" s="34"/>
      <c r="J235" s="1062"/>
      <c r="K235" s="1062"/>
      <c r="L235" s="1062"/>
      <c r="M235" s="1556"/>
      <c r="N235" s="1998">
        <f>N236</f>
        <v>112</v>
      </c>
      <c r="O235" s="1999"/>
      <c r="P235" s="1937"/>
      <c r="Q235" s="2000"/>
      <c r="R235" s="2001"/>
      <c r="V235" s="1998">
        <f>V236</f>
        <v>117</v>
      </c>
      <c r="W235" s="1998">
        <f>W236</f>
        <v>122</v>
      </c>
      <c r="Y235" s="1"/>
      <c r="Z235" s="237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9" customHeight="1" x14ac:dyDescent="0.3">
      <c r="A236" s="32"/>
      <c r="B236" s="2003" t="s">
        <v>964</v>
      </c>
      <c r="C236" s="34"/>
      <c r="D236" s="34"/>
      <c r="E236" s="34"/>
      <c r="F236" s="9" t="s">
        <v>507</v>
      </c>
      <c r="G236" s="9" t="s">
        <v>1</v>
      </c>
      <c r="H236" s="9" t="s">
        <v>506</v>
      </c>
      <c r="I236" s="9" t="s">
        <v>506</v>
      </c>
      <c r="J236" s="1062"/>
      <c r="K236" s="1062"/>
      <c r="L236" s="1062"/>
      <c r="M236" s="1556"/>
      <c r="N236" s="1998">
        <v>112</v>
      </c>
      <c r="O236" s="1999"/>
      <c r="P236" s="1937"/>
      <c r="Q236" s="2000">
        <v>102</v>
      </c>
      <c r="R236" s="2001">
        <v>107</v>
      </c>
      <c r="V236" s="1998">
        <v>117</v>
      </c>
      <c r="W236" s="1998">
        <v>122</v>
      </c>
      <c r="Y236" s="1"/>
      <c r="Z236" s="237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13" x14ac:dyDescent="0.25">
      <c r="A237" s="32"/>
      <c r="B237" s="49" t="s">
        <v>266</v>
      </c>
      <c r="C237" s="34"/>
      <c r="D237" s="34" t="s">
        <v>265</v>
      </c>
      <c r="E237" s="34" t="s">
        <v>262</v>
      </c>
      <c r="F237" s="9" t="s">
        <v>263</v>
      </c>
      <c r="G237" s="9"/>
      <c r="H237" s="9"/>
      <c r="I237" s="34"/>
      <c r="J237" s="1062">
        <f>J239</f>
        <v>272</v>
      </c>
      <c r="K237" s="1062"/>
      <c r="L237" s="1062">
        <f t="shared" ref="L237:R237" si="152">L239</f>
        <v>172</v>
      </c>
      <c r="M237" s="1556">
        <f t="shared" si="152"/>
        <v>184</v>
      </c>
      <c r="N237" s="1998">
        <f t="shared" si="152"/>
        <v>250</v>
      </c>
      <c r="O237" s="1999">
        <f t="shared" si="152"/>
        <v>302</v>
      </c>
      <c r="P237" s="1937">
        <f t="shared" si="152"/>
        <v>337</v>
      </c>
      <c r="Q237" s="2000">
        <f t="shared" si="152"/>
        <v>260</v>
      </c>
      <c r="R237" s="2001">
        <f t="shared" si="152"/>
        <v>270</v>
      </c>
      <c r="V237" s="1998">
        <f>V239</f>
        <v>260</v>
      </c>
      <c r="W237" s="1998">
        <f>W239</f>
        <v>270</v>
      </c>
      <c r="Y237" s="1"/>
      <c r="Z237" s="237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26" x14ac:dyDescent="0.25">
      <c r="A238" s="32"/>
      <c r="B238" s="49" t="s">
        <v>1048</v>
      </c>
      <c r="C238" s="34"/>
      <c r="D238" s="34"/>
      <c r="E238" s="34"/>
      <c r="F238" s="9" t="s">
        <v>263</v>
      </c>
      <c r="G238" s="9" t="s">
        <v>955</v>
      </c>
      <c r="H238" s="9"/>
      <c r="I238" s="34"/>
      <c r="J238" s="1062"/>
      <c r="K238" s="1062"/>
      <c r="L238" s="1062"/>
      <c r="M238" s="1556"/>
      <c r="N238" s="1998">
        <f>N239</f>
        <v>250</v>
      </c>
      <c r="O238" s="1999"/>
      <c r="P238" s="1937"/>
      <c r="Q238" s="2000"/>
      <c r="R238" s="2001"/>
      <c r="V238" s="1998">
        <f t="shared" ref="V238:W238" si="153">V239</f>
        <v>260</v>
      </c>
      <c r="W238" s="1998">
        <f t="shared" si="153"/>
        <v>270</v>
      </c>
      <c r="Y238" s="1"/>
      <c r="Z238" s="237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25.15" customHeight="1" x14ac:dyDescent="0.25">
      <c r="A239" s="32"/>
      <c r="B239" s="1993" t="s">
        <v>4</v>
      </c>
      <c r="C239" s="34"/>
      <c r="D239" s="34" t="s">
        <v>265</v>
      </c>
      <c r="E239" s="34" t="s">
        <v>262</v>
      </c>
      <c r="F239" s="9" t="s">
        <v>263</v>
      </c>
      <c r="G239" s="9" t="s">
        <v>1</v>
      </c>
      <c r="H239" s="9"/>
      <c r="I239" s="9"/>
      <c r="J239" s="1062">
        <f>J240</f>
        <v>272</v>
      </c>
      <c r="K239" s="1062"/>
      <c r="L239" s="1062">
        <v>172</v>
      </c>
      <c r="M239" s="1556">
        <v>184</v>
      </c>
      <c r="N239" s="1998">
        <f t="shared" ref="N239:R239" si="154">N240</f>
        <v>250</v>
      </c>
      <c r="O239" s="1999">
        <f t="shared" si="154"/>
        <v>302</v>
      </c>
      <c r="P239" s="1937">
        <f t="shared" si="154"/>
        <v>337</v>
      </c>
      <c r="Q239" s="2000">
        <f t="shared" si="154"/>
        <v>260</v>
      </c>
      <c r="R239" s="2001">
        <f t="shared" si="154"/>
        <v>270</v>
      </c>
      <c r="V239" s="1998">
        <f t="shared" ref="V239:W239" si="155">V240</f>
        <v>260</v>
      </c>
      <c r="W239" s="1998">
        <f t="shared" si="155"/>
        <v>270</v>
      </c>
      <c r="Y239" s="1"/>
      <c r="Z239" s="237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16.899999999999999" customHeight="1" x14ac:dyDescent="0.3">
      <c r="A240" s="32"/>
      <c r="B240" s="2003" t="s">
        <v>964</v>
      </c>
      <c r="C240" s="34"/>
      <c r="D240" s="34"/>
      <c r="E240" s="34"/>
      <c r="F240" s="9" t="s">
        <v>263</v>
      </c>
      <c r="G240" s="9" t="s">
        <v>1</v>
      </c>
      <c r="H240" s="9" t="s">
        <v>506</v>
      </c>
      <c r="I240" s="9" t="s">
        <v>506</v>
      </c>
      <c r="J240" s="1062">
        <v>272</v>
      </c>
      <c r="K240" s="1062"/>
      <c r="L240" s="1062">
        <v>172</v>
      </c>
      <c r="M240" s="1556">
        <v>184</v>
      </c>
      <c r="N240" s="1998">
        <v>250</v>
      </c>
      <c r="O240" s="1999">
        <v>302</v>
      </c>
      <c r="P240" s="1937">
        <v>337</v>
      </c>
      <c r="Q240" s="2000">
        <f>362-102</f>
        <v>260</v>
      </c>
      <c r="R240" s="2001">
        <f>377-107</f>
        <v>270</v>
      </c>
      <c r="V240" s="1998">
        <v>260</v>
      </c>
      <c r="W240" s="1998">
        <v>270</v>
      </c>
      <c r="Y240" s="1"/>
      <c r="Z240" s="237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s="2" customFormat="1" ht="48" hidden="1" customHeight="1" x14ac:dyDescent="0.25">
      <c r="A241" s="91"/>
      <c r="B241" s="52" t="s">
        <v>910</v>
      </c>
      <c r="C241" s="34"/>
      <c r="D241" s="34" t="s">
        <v>246</v>
      </c>
      <c r="E241" s="34" t="s">
        <v>85</v>
      </c>
      <c r="F241" s="34" t="s">
        <v>252</v>
      </c>
      <c r="G241" s="131"/>
      <c r="H241" s="131"/>
      <c r="I241" s="34"/>
      <c r="J241" s="51">
        <f>J242</f>
        <v>6205</v>
      </c>
      <c r="K241" s="51"/>
      <c r="L241" s="51">
        <f t="shared" ref="L241:R241" si="156">L242</f>
        <v>6305</v>
      </c>
      <c r="M241" s="1553">
        <f t="shared" si="156"/>
        <v>6960</v>
      </c>
      <c r="N241" s="1982">
        <f t="shared" si="156"/>
        <v>11894.307999999999</v>
      </c>
      <c r="O241" s="1958">
        <f t="shared" si="156"/>
        <v>6962.0999999999995</v>
      </c>
      <c r="P241" s="1944">
        <f t="shared" si="156"/>
        <v>6915</v>
      </c>
      <c r="Q241" s="1996">
        <f t="shared" si="156"/>
        <v>12173.939999999999</v>
      </c>
      <c r="R241" s="1997">
        <f t="shared" si="156"/>
        <v>12431.57</v>
      </c>
      <c r="V241" s="1982">
        <f t="shared" ref="V241:W241" si="157">V242</f>
        <v>11695.482</v>
      </c>
      <c r="W241" s="1982">
        <f t="shared" si="157"/>
        <v>10932.877</v>
      </c>
      <c r="Y241" s="1"/>
      <c r="Z241" s="237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s="2" customFormat="1" ht="39" x14ac:dyDescent="0.25">
      <c r="A242" s="32"/>
      <c r="B242" s="157" t="s">
        <v>911</v>
      </c>
      <c r="C242" s="9"/>
      <c r="D242" s="9" t="s">
        <v>246</v>
      </c>
      <c r="E242" s="9" t="s">
        <v>85</v>
      </c>
      <c r="F242" s="9" t="s">
        <v>260</v>
      </c>
      <c r="G242" s="9"/>
      <c r="H242" s="9"/>
      <c r="I242" s="9"/>
      <c r="J242" s="1060">
        <f>J244</f>
        <v>6205</v>
      </c>
      <c r="K242" s="1060"/>
      <c r="L242" s="1060">
        <f t="shared" ref="L242:P242" si="158">L244</f>
        <v>6305</v>
      </c>
      <c r="M242" s="1557">
        <f t="shared" si="158"/>
        <v>6960</v>
      </c>
      <c r="N242" s="1998">
        <f>N243</f>
        <v>11894.307999999999</v>
      </c>
      <c r="O242" s="1999">
        <f t="shared" si="158"/>
        <v>6962.0999999999995</v>
      </c>
      <c r="P242" s="1937">
        <f t="shared" si="158"/>
        <v>6915</v>
      </c>
      <c r="Q242" s="2000">
        <f>Q243</f>
        <v>12173.939999999999</v>
      </c>
      <c r="R242" s="2001">
        <f>R243</f>
        <v>12431.57</v>
      </c>
      <c r="V242" s="1998">
        <f>V243</f>
        <v>11695.482</v>
      </c>
      <c r="W242" s="1998">
        <f>W243</f>
        <v>10932.877</v>
      </c>
      <c r="Y242" s="1"/>
      <c r="Z242" s="237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s="2" customFormat="1" ht="13" x14ac:dyDescent="0.25">
      <c r="A243" s="32"/>
      <c r="B243" s="1093" t="s">
        <v>259</v>
      </c>
      <c r="C243" s="9"/>
      <c r="D243" s="9"/>
      <c r="E243" s="9"/>
      <c r="F243" s="9" t="s">
        <v>258</v>
      </c>
      <c r="G243" s="9"/>
      <c r="H243" s="9"/>
      <c r="I243" s="9"/>
      <c r="J243" s="1060">
        <f>J244</f>
        <v>6205</v>
      </c>
      <c r="K243" s="1060"/>
      <c r="L243" s="1060"/>
      <c r="M243" s="1557"/>
      <c r="N243" s="1998">
        <f>N244+N255</f>
        <v>11894.307999999999</v>
      </c>
      <c r="O243" s="1999">
        <f>O244</f>
        <v>6962.0999999999995</v>
      </c>
      <c r="P243" s="1937">
        <f>P244</f>
        <v>6915</v>
      </c>
      <c r="Q243" s="2000">
        <f>Q244+Q255</f>
        <v>12173.939999999999</v>
      </c>
      <c r="R243" s="2001">
        <f>R244+R255</f>
        <v>12431.57</v>
      </c>
      <c r="V243" s="1998">
        <f>V244+V255</f>
        <v>11695.482</v>
      </c>
      <c r="W243" s="1998">
        <f>W244+W255</f>
        <v>10932.877</v>
      </c>
      <c r="Y243" s="1"/>
      <c r="Z243" s="237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s="2" customFormat="1" ht="13" x14ac:dyDescent="0.25">
      <c r="A244" s="32"/>
      <c r="B244" s="49" t="s">
        <v>257</v>
      </c>
      <c r="C244" s="9"/>
      <c r="D244" s="9" t="s">
        <v>246</v>
      </c>
      <c r="E244" s="9" t="s">
        <v>85</v>
      </c>
      <c r="F244" s="9" t="s">
        <v>254</v>
      </c>
      <c r="G244" s="9"/>
      <c r="H244" s="9"/>
      <c r="I244" s="9"/>
      <c r="J244" s="1060">
        <f>J246+J249+J252</f>
        <v>6205</v>
      </c>
      <c r="K244" s="1060"/>
      <c r="L244" s="1060">
        <f t="shared" ref="L244:R244" si="159">L246+L249+L252</f>
        <v>6305</v>
      </c>
      <c r="M244" s="1557">
        <f t="shared" si="159"/>
        <v>6960</v>
      </c>
      <c r="N244" s="2004">
        <f>N247+N250+N253</f>
        <v>8671.3079999999991</v>
      </c>
      <c r="O244" s="2005">
        <f t="shared" si="159"/>
        <v>6962.0999999999995</v>
      </c>
      <c r="P244" s="2006">
        <f t="shared" si="159"/>
        <v>6915</v>
      </c>
      <c r="Q244" s="2007">
        <f t="shared" si="159"/>
        <v>9507.74</v>
      </c>
      <c r="R244" s="2008">
        <f t="shared" si="159"/>
        <v>9765.3700000000008</v>
      </c>
      <c r="V244" s="2004">
        <f>V247+V250+V253</f>
        <v>11695.482</v>
      </c>
      <c r="W244" s="2004">
        <f>W247+W250+W253</f>
        <v>10932.877</v>
      </c>
      <c r="Y244" s="1"/>
      <c r="Z244" s="237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s="2" customFormat="1" ht="42.65" customHeight="1" x14ac:dyDescent="0.25">
      <c r="A245" s="32"/>
      <c r="B245" s="49" t="s">
        <v>1063</v>
      </c>
      <c r="C245" s="9"/>
      <c r="D245" s="9"/>
      <c r="E245" s="9"/>
      <c r="F245" s="9" t="s">
        <v>254</v>
      </c>
      <c r="G245" s="9" t="s">
        <v>1062</v>
      </c>
      <c r="H245" s="9"/>
      <c r="I245" s="9"/>
      <c r="J245" s="1060"/>
      <c r="K245" s="1060"/>
      <c r="L245" s="1060"/>
      <c r="M245" s="1557"/>
      <c r="N245" s="2004">
        <f>N246</f>
        <v>7411.9359999999997</v>
      </c>
      <c r="O245" s="2005"/>
      <c r="P245" s="2006"/>
      <c r="Q245" s="2007"/>
      <c r="R245" s="2008"/>
      <c r="V245" s="2004">
        <f t="shared" ref="V245:W245" si="160">V246</f>
        <v>7708.4129999999996</v>
      </c>
      <c r="W245" s="2004">
        <f t="shared" si="160"/>
        <v>8016.75</v>
      </c>
      <c r="Y245" s="1"/>
      <c r="Z245" s="237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s="2" customFormat="1" ht="13" x14ac:dyDescent="0.3">
      <c r="A246" s="32"/>
      <c r="B246" s="744" t="s">
        <v>256</v>
      </c>
      <c r="C246" s="9"/>
      <c r="D246" s="9" t="s">
        <v>246</v>
      </c>
      <c r="E246" s="9" t="s">
        <v>85</v>
      </c>
      <c r="F246" s="9" t="s">
        <v>254</v>
      </c>
      <c r="G246" s="9" t="s">
        <v>255</v>
      </c>
      <c r="H246" s="9"/>
      <c r="I246" s="9"/>
      <c r="J246" s="1060">
        <f>J247</f>
        <v>4156.915</v>
      </c>
      <c r="K246" s="1078"/>
      <c r="L246" s="1060">
        <v>5305.1139999999996</v>
      </c>
      <c r="M246" s="1557">
        <v>6631.482</v>
      </c>
      <c r="N246" s="1998">
        <f>N247</f>
        <v>7411.9359999999997</v>
      </c>
      <c r="O246" s="1999">
        <f>O247</f>
        <v>4886.9669999999996</v>
      </c>
      <c r="P246" s="1937">
        <f>P247</f>
        <v>5375.0079999999998</v>
      </c>
      <c r="Q246" s="2000">
        <f>Q247</f>
        <v>7375.74</v>
      </c>
      <c r="R246" s="2001">
        <f>R247</f>
        <v>7670.77</v>
      </c>
      <c r="V246" s="1998">
        <f>V247</f>
        <v>7708.4129999999996</v>
      </c>
      <c r="W246" s="1998">
        <f>W247</f>
        <v>8016.75</v>
      </c>
      <c r="Y246" s="1"/>
      <c r="Z246" s="23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s="2" customFormat="1" ht="13" x14ac:dyDescent="0.3">
      <c r="A247" s="32"/>
      <c r="B247" s="744" t="s">
        <v>87</v>
      </c>
      <c r="C247" s="9"/>
      <c r="D247" s="9"/>
      <c r="E247" s="9"/>
      <c r="F247" s="9" t="s">
        <v>254</v>
      </c>
      <c r="G247" s="9" t="s">
        <v>255</v>
      </c>
      <c r="H247" s="9" t="s">
        <v>453</v>
      </c>
      <c r="I247" s="9" t="s">
        <v>456</v>
      </c>
      <c r="J247" s="1060">
        <v>4156.915</v>
      </c>
      <c r="K247" s="1078"/>
      <c r="L247" s="1060"/>
      <c r="M247" s="1557"/>
      <c r="N247" s="1998">
        <v>7411.9359999999997</v>
      </c>
      <c r="O247" s="1999">
        <v>4886.9669999999996</v>
      </c>
      <c r="P247" s="1937">
        <v>5375.0079999999998</v>
      </c>
      <c r="Q247" s="2000">
        <v>7375.74</v>
      </c>
      <c r="R247" s="2001">
        <v>7670.77</v>
      </c>
      <c r="V247" s="1998">
        <v>7708.4129999999996</v>
      </c>
      <c r="W247" s="1998">
        <v>8016.75</v>
      </c>
      <c r="Y247" s="1"/>
      <c r="Z247" s="237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s="2" customFormat="1" ht="26" x14ac:dyDescent="0.25">
      <c r="A248" s="32"/>
      <c r="B248" s="49" t="s">
        <v>1048</v>
      </c>
      <c r="C248" s="9"/>
      <c r="D248" s="9"/>
      <c r="E248" s="9"/>
      <c r="F248" s="9" t="s">
        <v>254</v>
      </c>
      <c r="G248" s="9" t="s">
        <v>955</v>
      </c>
      <c r="H248" s="9"/>
      <c r="I248" s="9"/>
      <c r="J248" s="1060"/>
      <c r="K248" s="1078"/>
      <c r="L248" s="1060"/>
      <c r="M248" s="1557"/>
      <c r="N248" s="1998">
        <f>N249</f>
        <v>1258.3719999999998</v>
      </c>
      <c r="O248" s="1999"/>
      <c r="P248" s="1937"/>
      <c r="Q248" s="2000"/>
      <c r="R248" s="2001"/>
      <c r="V248" s="1998">
        <f t="shared" ref="V248:W248" si="161">V249</f>
        <v>3986.069</v>
      </c>
      <c r="W248" s="1998">
        <f t="shared" si="161"/>
        <v>2915.127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25.15" customHeight="1" x14ac:dyDescent="0.25">
      <c r="A249" s="32"/>
      <c r="B249" s="1993" t="s">
        <v>4</v>
      </c>
      <c r="C249" s="9"/>
      <c r="D249" s="9" t="s">
        <v>246</v>
      </c>
      <c r="E249" s="9" t="s">
        <v>85</v>
      </c>
      <c r="F249" s="9" t="s">
        <v>254</v>
      </c>
      <c r="G249" s="9" t="s">
        <v>1</v>
      </c>
      <c r="H249" s="9"/>
      <c r="I249" s="9"/>
      <c r="J249" s="1060">
        <f>J250</f>
        <v>2047.085</v>
      </c>
      <c r="K249" s="1060"/>
      <c r="L249" s="1060">
        <f>999.886-0.886</f>
        <v>999</v>
      </c>
      <c r="M249" s="1557">
        <v>328</v>
      </c>
      <c r="N249" s="1998">
        <f>N250</f>
        <v>1258.3719999999998</v>
      </c>
      <c r="O249" s="1999">
        <f>O250</f>
        <v>2074.1329999999998</v>
      </c>
      <c r="P249" s="1937">
        <f>P250</f>
        <v>1538.992</v>
      </c>
      <c r="Q249" s="2000">
        <f>Q250</f>
        <v>2122</v>
      </c>
      <c r="R249" s="2001">
        <f>R250</f>
        <v>2084.6</v>
      </c>
      <c r="V249" s="1998">
        <f>V250</f>
        <v>3986.069</v>
      </c>
      <c r="W249" s="1998">
        <f>W250</f>
        <v>2915.127</v>
      </c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ht="13" x14ac:dyDescent="0.3">
      <c r="A250" s="32"/>
      <c r="B250" s="744" t="s">
        <v>87</v>
      </c>
      <c r="C250" s="9"/>
      <c r="D250" s="9"/>
      <c r="E250" s="9"/>
      <c r="F250" s="9" t="s">
        <v>254</v>
      </c>
      <c r="G250" s="9" t="s">
        <v>1</v>
      </c>
      <c r="H250" s="9" t="s">
        <v>453</v>
      </c>
      <c r="I250" s="9" t="s">
        <v>456</v>
      </c>
      <c r="J250" s="1060">
        <v>2047.085</v>
      </c>
      <c r="K250" s="1060"/>
      <c r="L250" s="1060"/>
      <c r="M250" s="1557"/>
      <c r="N250" s="1998">
        <f>3642.172-278.4-278.4-1827</f>
        <v>1258.3719999999998</v>
      </c>
      <c r="O250" s="1999">
        <v>2074.1329999999998</v>
      </c>
      <c r="P250" s="1937">
        <v>1538.992</v>
      </c>
      <c r="Q250" s="2000">
        <v>2122</v>
      </c>
      <c r="R250" s="2001">
        <v>2084.6</v>
      </c>
      <c r="V250" s="1998">
        <f>3787.859-1134.89+1333.1</f>
        <v>3986.069</v>
      </c>
      <c r="W250" s="1998">
        <f>3939.373-1024.286+0.04</f>
        <v>2915.127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13" x14ac:dyDescent="0.3">
      <c r="A251" s="32"/>
      <c r="B251" s="744" t="s">
        <v>1065</v>
      </c>
      <c r="C251" s="9"/>
      <c r="D251" s="9"/>
      <c r="E251" s="9"/>
      <c r="F251" s="9" t="s">
        <v>254</v>
      </c>
      <c r="G251" s="9" t="s">
        <v>1064</v>
      </c>
      <c r="H251" s="9"/>
      <c r="I251" s="9"/>
      <c r="J251" s="1060"/>
      <c r="K251" s="1060"/>
      <c r="L251" s="1060"/>
      <c r="M251" s="1557"/>
      <c r="N251" s="1998">
        <f>N252</f>
        <v>1</v>
      </c>
      <c r="O251" s="1999"/>
      <c r="P251" s="1937"/>
      <c r="Q251" s="2000"/>
      <c r="R251" s="2001"/>
      <c r="V251" s="1998">
        <f t="shared" ref="V251:W251" si="162">V252</f>
        <v>1</v>
      </c>
      <c r="W251" s="1998">
        <f t="shared" si="162"/>
        <v>1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13" x14ac:dyDescent="0.3">
      <c r="A252" s="32"/>
      <c r="B252" s="744" t="s">
        <v>94</v>
      </c>
      <c r="C252" s="9"/>
      <c r="D252" s="9" t="s">
        <v>246</v>
      </c>
      <c r="E252" s="9" t="s">
        <v>85</v>
      </c>
      <c r="F252" s="9" t="s">
        <v>254</v>
      </c>
      <c r="G252" s="9" t="s">
        <v>91</v>
      </c>
      <c r="H252" s="9"/>
      <c r="I252" s="9"/>
      <c r="J252" s="1062">
        <f>J253</f>
        <v>1</v>
      </c>
      <c r="K252" s="1062"/>
      <c r="L252" s="1062">
        <v>0.88600000000000001</v>
      </c>
      <c r="M252" s="1556">
        <v>0.51800000000000002</v>
      </c>
      <c r="N252" s="1998">
        <f>N253</f>
        <v>1</v>
      </c>
      <c r="O252" s="1999">
        <f>O253</f>
        <v>1</v>
      </c>
      <c r="P252" s="1937">
        <f>P253</f>
        <v>1</v>
      </c>
      <c r="Q252" s="2000">
        <f>Q253</f>
        <v>10</v>
      </c>
      <c r="R252" s="2001">
        <f>R253</f>
        <v>10</v>
      </c>
      <c r="V252" s="1998">
        <f>V253</f>
        <v>1</v>
      </c>
      <c r="W252" s="1998">
        <f>W253</f>
        <v>1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13" x14ac:dyDescent="0.3">
      <c r="A253" s="32"/>
      <c r="B253" s="744" t="s">
        <v>87</v>
      </c>
      <c r="C253" s="9"/>
      <c r="D253" s="9"/>
      <c r="E253" s="9"/>
      <c r="F253" s="9" t="s">
        <v>254</v>
      </c>
      <c r="G253" s="9" t="s">
        <v>91</v>
      </c>
      <c r="H253" s="9" t="s">
        <v>453</v>
      </c>
      <c r="I253" s="9" t="s">
        <v>456</v>
      </c>
      <c r="J253" s="1062">
        <v>1</v>
      </c>
      <c r="K253" s="1062"/>
      <c r="L253" s="1062">
        <f>L246+L249+L252</f>
        <v>6305</v>
      </c>
      <c r="M253" s="1556">
        <f>M246+M249+M252</f>
        <v>6960</v>
      </c>
      <c r="N253" s="1998">
        <v>1</v>
      </c>
      <c r="O253" s="1999">
        <v>1</v>
      </c>
      <c r="P253" s="1937">
        <v>1</v>
      </c>
      <c r="Q253" s="2000">
        <v>10</v>
      </c>
      <c r="R253" s="2001">
        <v>10</v>
      </c>
      <c r="V253" s="1998">
        <v>1</v>
      </c>
      <c r="W253" s="1998">
        <v>1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39.65" hidden="1" customHeight="1" x14ac:dyDescent="0.25">
      <c r="A254" s="91"/>
      <c r="B254" s="52" t="s">
        <v>910</v>
      </c>
      <c r="C254" s="34"/>
      <c r="D254" s="34" t="s">
        <v>246</v>
      </c>
      <c r="E254" s="34" t="s">
        <v>242</v>
      </c>
      <c r="F254" s="9" t="s">
        <v>252</v>
      </c>
      <c r="G254" s="131"/>
      <c r="H254" s="131"/>
      <c r="I254" s="34"/>
      <c r="J254" s="51">
        <f>J259</f>
        <v>1278.5</v>
      </c>
      <c r="K254" s="51"/>
      <c r="L254" s="51">
        <f t="shared" ref="L254:R254" si="163">L259</f>
        <v>1278.5</v>
      </c>
      <c r="M254" s="1553">
        <f t="shared" si="163"/>
        <v>1238.5</v>
      </c>
      <c r="N254" s="1982">
        <f t="shared" si="163"/>
        <v>4860</v>
      </c>
      <c r="O254" s="1958">
        <f t="shared" si="163"/>
        <v>1250.5</v>
      </c>
      <c r="P254" s="1944">
        <f t="shared" si="163"/>
        <v>1348</v>
      </c>
      <c r="Q254" s="1996">
        <f t="shared" si="163"/>
        <v>3017.4</v>
      </c>
      <c r="R254" s="1997">
        <f t="shared" si="163"/>
        <v>3338</v>
      </c>
      <c r="V254" s="1982">
        <f t="shared" ref="V254:W254" si="164">V259</f>
        <v>7314.32</v>
      </c>
      <c r="W254" s="1982">
        <f t="shared" si="164"/>
        <v>7606.89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26.5" customHeight="1" x14ac:dyDescent="0.3">
      <c r="A255" s="91"/>
      <c r="B255" s="2009" t="s">
        <v>830</v>
      </c>
      <c r="C255" s="735"/>
      <c r="D255" s="77"/>
      <c r="E255" s="77"/>
      <c r="F255" s="9" t="s">
        <v>970</v>
      </c>
      <c r="G255" s="9"/>
      <c r="H255" s="9"/>
      <c r="I255" s="9"/>
      <c r="J255" s="1434"/>
      <c r="K255" s="29"/>
      <c r="L255" s="28"/>
      <c r="M255" s="1558"/>
      <c r="N255" s="1986">
        <f>N257</f>
        <v>3223</v>
      </c>
      <c r="O255" s="1947"/>
      <c r="P255" s="1947"/>
      <c r="Q255" s="2010">
        <f>Q257</f>
        <v>2666.2</v>
      </c>
      <c r="R255" s="1988">
        <f>R257</f>
        <v>2666.2</v>
      </c>
      <c r="S255" s="2">
        <v>712.6</v>
      </c>
      <c r="T255" s="2">
        <v>712.6</v>
      </c>
      <c r="U255" s="2">
        <v>712.6</v>
      </c>
      <c r="V255" s="2283">
        <f>V257</f>
        <v>0</v>
      </c>
      <c r="W255" s="2149">
        <f>W257</f>
        <v>0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51.65" customHeight="1" x14ac:dyDescent="0.3">
      <c r="A256" s="91"/>
      <c r="B256" s="49" t="s">
        <v>1063</v>
      </c>
      <c r="C256" s="735"/>
      <c r="D256" s="77"/>
      <c r="E256" s="77"/>
      <c r="F256" s="9" t="s">
        <v>970</v>
      </c>
      <c r="G256" s="9" t="s">
        <v>1062</v>
      </c>
      <c r="H256" s="9"/>
      <c r="I256" s="9"/>
      <c r="J256" s="1434"/>
      <c r="K256" s="29"/>
      <c r="L256" s="28"/>
      <c r="M256" s="1558"/>
      <c r="N256" s="1986">
        <f>N257</f>
        <v>3223</v>
      </c>
      <c r="O256" s="1947"/>
      <c r="P256" s="1947"/>
      <c r="Q256" s="2010"/>
      <c r="R256" s="1988"/>
      <c r="V256" s="2283">
        <f>V257</f>
        <v>0</v>
      </c>
      <c r="W256" s="2149">
        <f>W257</f>
        <v>0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17.149999999999999" customHeight="1" x14ac:dyDescent="0.3">
      <c r="A257" s="91"/>
      <c r="B257" s="737" t="s">
        <v>256</v>
      </c>
      <c r="C257" s="735"/>
      <c r="D257" s="77"/>
      <c r="E257" s="77"/>
      <c r="F257" s="9" t="s">
        <v>970</v>
      </c>
      <c r="G257" s="9" t="s">
        <v>255</v>
      </c>
      <c r="H257" s="9"/>
      <c r="I257" s="9"/>
      <c r="J257" s="1434"/>
      <c r="K257" s="29"/>
      <c r="L257" s="28"/>
      <c r="M257" s="1558"/>
      <c r="N257" s="1986">
        <f>N258</f>
        <v>3223</v>
      </c>
      <c r="O257" s="1947"/>
      <c r="P257" s="1947"/>
      <c r="Q257" s="2010">
        <f>Q258</f>
        <v>2666.2</v>
      </c>
      <c r="R257" s="1988">
        <f>R258</f>
        <v>2666.2</v>
      </c>
      <c r="V257" s="2283">
        <f>V258</f>
        <v>0</v>
      </c>
      <c r="W257" s="2149">
        <f>W258</f>
        <v>0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18" customHeight="1" x14ac:dyDescent="0.3">
      <c r="A258" s="91"/>
      <c r="B258" s="744" t="s">
        <v>87</v>
      </c>
      <c r="C258" s="735"/>
      <c r="D258" s="77"/>
      <c r="E258" s="77"/>
      <c r="F258" s="9" t="s">
        <v>985</v>
      </c>
      <c r="G258" s="9" t="s">
        <v>255</v>
      </c>
      <c r="H258" s="9" t="s">
        <v>453</v>
      </c>
      <c r="I258" s="9" t="s">
        <v>456</v>
      </c>
      <c r="J258" s="1434"/>
      <c r="K258" s="29"/>
      <c r="L258" s="28"/>
      <c r="M258" s="1558"/>
      <c r="N258" s="1986">
        <f>2666.2+278.4+278.4</f>
        <v>3223</v>
      </c>
      <c r="O258" s="1947"/>
      <c r="P258" s="1947"/>
      <c r="Q258" s="2010">
        <v>2666.2</v>
      </c>
      <c r="R258" s="1988">
        <v>2666.2</v>
      </c>
      <c r="S258" s="2011">
        <v>2666.2</v>
      </c>
      <c r="T258" s="2011">
        <v>2666.2</v>
      </c>
      <c r="U258" s="2011">
        <v>2666.2</v>
      </c>
      <c r="V258" s="2283">
        <v>0</v>
      </c>
      <c r="W258" s="2148">
        <v>0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13" x14ac:dyDescent="0.25">
      <c r="A259" s="32"/>
      <c r="B259" s="157" t="s">
        <v>836</v>
      </c>
      <c r="C259" s="9"/>
      <c r="D259" s="9" t="s">
        <v>246</v>
      </c>
      <c r="E259" s="9" t="s">
        <v>242</v>
      </c>
      <c r="F259" s="9" t="s">
        <v>251</v>
      </c>
      <c r="G259" s="9"/>
      <c r="H259" s="9"/>
      <c r="I259" s="9"/>
      <c r="J259" s="1060">
        <f>J261</f>
        <v>1278.5</v>
      </c>
      <c r="K259" s="1060"/>
      <c r="L259" s="1060">
        <f t="shared" ref="L259:R259" si="165">L261</f>
        <v>1278.5</v>
      </c>
      <c r="M259" s="1557">
        <f t="shared" si="165"/>
        <v>1238.5</v>
      </c>
      <c r="N259" s="1998">
        <f>N260</f>
        <v>4860</v>
      </c>
      <c r="O259" s="1999">
        <f t="shared" si="165"/>
        <v>1250.5</v>
      </c>
      <c r="P259" s="1937">
        <f t="shared" si="165"/>
        <v>1348</v>
      </c>
      <c r="Q259" s="2000">
        <f t="shared" si="165"/>
        <v>3017.4</v>
      </c>
      <c r="R259" s="2001">
        <f t="shared" si="165"/>
        <v>3338</v>
      </c>
      <c r="V259" s="1998">
        <f>V260</f>
        <v>7314.32</v>
      </c>
      <c r="W259" s="1998">
        <f>W260</f>
        <v>7606.89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ht="13" x14ac:dyDescent="0.25">
      <c r="A260" s="32"/>
      <c r="B260" s="1093" t="s">
        <v>250</v>
      </c>
      <c r="C260" s="9"/>
      <c r="D260" s="9"/>
      <c r="E260" s="9"/>
      <c r="F260" s="9" t="s">
        <v>249</v>
      </c>
      <c r="G260" s="9"/>
      <c r="H260" s="9"/>
      <c r="I260" s="9"/>
      <c r="J260" s="1060">
        <f>J261</f>
        <v>1278.5</v>
      </c>
      <c r="K260" s="1060"/>
      <c r="L260" s="1060"/>
      <c r="M260" s="1557"/>
      <c r="N260" s="1998">
        <f t="shared" ref="N260:R260" si="166">N261</f>
        <v>4860</v>
      </c>
      <c r="O260" s="1999">
        <f t="shared" si="166"/>
        <v>1250.5</v>
      </c>
      <c r="P260" s="1937">
        <f t="shared" si="166"/>
        <v>1348</v>
      </c>
      <c r="Q260" s="2000">
        <f t="shared" si="166"/>
        <v>3017.4</v>
      </c>
      <c r="R260" s="2001">
        <f t="shared" si="166"/>
        <v>3338</v>
      </c>
      <c r="V260" s="1998">
        <f t="shared" ref="V260:W260" si="167">V261</f>
        <v>7314.32</v>
      </c>
      <c r="W260" s="1998">
        <f t="shared" si="167"/>
        <v>7606.89</v>
      </c>
    </row>
    <row r="261" spans="1:256" ht="13" x14ac:dyDescent="0.25">
      <c r="A261" s="32"/>
      <c r="B261" s="49" t="s">
        <v>248</v>
      </c>
      <c r="C261" s="9"/>
      <c r="D261" s="9" t="s">
        <v>246</v>
      </c>
      <c r="E261" s="9" t="s">
        <v>242</v>
      </c>
      <c r="F261" s="9" t="s">
        <v>243</v>
      </c>
      <c r="G261" s="9"/>
      <c r="H261" s="9"/>
      <c r="I261" s="9"/>
      <c r="J261" s="1060">
        <f>J263</f>
        <v>1278.5</v>
      </c>
      <c r="K261" s="1060"/>
      <c r="L261" s="1060">
        <f t="shared" ref="L261:M261" si="168">L263</f>
        <v>1278.5</v>
      </c>
      <c r="M261" s="1557">
        <f t="shared" si="168"/>
        <v>1238.5</v>
      </c>
      <c r="N261" s="1998">
        <f>N263</f>
        <v>4860</v>
      </c>
      <c r="O261" s="1999">
        <f>O263</f>
        <v>1250.5</v>
      </c>
      <c r="P261" s="1937">
        <f>P263</f>
        <v>1348</v>
      </c>
      <c r="Q261" s="2000">
        <f>Q263</f>
        <v>3017.4</v>
      </c>
      <c r="R261" s="2001">
        <f>R263</f>
        <v>3338</v>
      </c>
      <c r="V261" s="1998">
        <f>V263</f>
        <v>7314.32</v>
      </c>
      <c r="W261" s="1998">
        <f>W263</f>
        <v>7606.89</v>
      </c>
    </row>
    <row r="262" spans="1:256" ht="26" x14ac:dyDescent="0.25">
      <c r="A262" s="32"/>
      <c r="B262" s="49" t="s">
        <v>1048</v>
      </c>
      <c r="C262" s="9"/>
      <c r="D262" s="9"/>
      <c r="E262" s="9"/>
      <c r="F262" s="9" t="s">
        <v>243</v>
      </c>
      <c r="G262" s="9" t="s">
        <v>955</v>
      </c>
      <c r="H262" s="9"/>
      <c r="I262" s="9"/>
      <c r="J262" s="1060"/>
      <c r="K262" s="1060"/>
      <c r="L262" s="1060"/>
      <c r="M262" s="1557"/>
      <c r="N262" s="1998">
        <f>N263</f>
        <v>4860</v>
      </c>
      <c r="O262" s="1999"/>
      <c r="P262" s="1937"/>
      <c r="Q262" s="2000"/>
      <c r="R262" s="2001"/>
      <c r="V262" s="1998">
        <f t="shared" ref="V262:W262" si="169">V263</f>
        <v>7314.32</v>
      </c>
      <c r="W262" s="1998">
        <f t="shared" si="169"/>
        <v>7606.89</v>
      </c>
    </row>
    <row r="263" spans="1:256" ht="25.15" customHeight="1" x14ac:dyDescent="0.25">
      <c r="A263" s="32"/>
      <c r="B263" s="1993" t="s">
        <v>4</v>
      </c>
      <c r="C263" s="9"/>
      <c r="D263" s="9" t="s">
        <v>246</v>
      </c>
      <c r="E263" s="9" t="s">
        <v>242</v>
      </c>
      <c r="F263" s="9" t="s">
        <v>243</v>
      </c>
      <c r="G263" s="9" t="s">
        <v>1</v>
      </c>
      <c r="H263" s="9"/>
      <c r="I263" s="9"/>
      <c r="J263" s="1060">
        <f>J265</f>
        <v>1278.5</v>
      </c>
      <c r="K263" s="1060"/>
      <c r="L263" s="1060">
        <v>1278.5</v>
      </c>
      <c r="M263" s="1557">
        <v>1238.5</v>
      </c>
      <c r="N263" s="1998">
        <f>N265</f>
        <v>4860</v>
      </c>
      <c r="O263" s="1999">
        <f>O265</f>
        <v>1250.5</v>
      </c>
      <c r="P263" s="1937">
        <f>P265</f>
        <v>1348</v>
      </c>
      <c r="Q263" s="2000">
        <f>Q265</f>
        <v>3017.4</v>
      </c>
      <c r="R263" s="2001">
        <f>R265</f>
        <v>3338</v>
      </c>
      <c r="V263" s="1998">
        <f>V265</f>
        <v>7314.32</v>
      </c>
      <c r="W263" s="1998">
        <f>W265</f>
        <v>7606.89</v>
      </c>
    </row>
    <row r="264" spans="1:256" s="162" customFormat="1" ht="52" hidden="1" x14ac:dyDescent="0.3">
      <c r="A264" s="165"/>
      <c r="B264" s="164" t="s">
        <v>247</v>
      </c>
      <c r="C264" s="33"/>
      <c r="D264" s="33" t="s">
        <v>246</v>
      </c>
      <c r="E264" s="9" t="s">
        <v>242</v>
      </c>
      <c r="F264" s="33" t="s">
        <v>245</v>
      </c>
      <c r="G264" s="31"/>
      <c r="H264" s="31"/>
      <c r="I264" s="9"/>
      <c r="J264" s="1062"/>
      <c r="K264" s="1062"/>
      <c r="L264" s="1062"/>
      <c r="M264" s="1556"/>
      <c r="N264" s="1998"/>
      <c r="O264" s="1999"/>
      <c r="P264" s="1937"/>
      <c r="Q264" s="2000"/>
      <c r="R264" s="2001"/>
      <c r="S264" s="163"/>
      <c r="T264" s="163"/>
      <c r="U264" s="163"/>
      <c r="V264" s="1998"/>
      <c r="W264" s="1998"/>
      <c r="X264" s="163"/>
      <c r="Z264" s="2142"/>
    </row>
    <row r="265" spans="1:256" s="162" customFormat="1" ht="15" x14ac:dyDescent="0.3">
      <c r="A265" s="165"/>
      <c r="B265" s="164" t="s">
        <v>244</v>
      </c>
      <c r="C265" s="33"/>
      <c r="D265" s="33"/>
      <c r="E265" s="9"/>
      <c r="F265" s="9" t="s">
        <v>243</v>
      </c>
      <c r="G265" s="9" t="s">
        <v>1</v>
      </c>
      <c r="H265" s="9" t="s">
        <v>453</v>
      </c>
      <c r="I265" s="9" t="s">
        <v>452</v>
      </c>
      <c r="J265" s="1060">
        <v>1278.5</v>
      </c>
      <c r="K265" s="1060"/>
      <c r="L265" s="1060">
        <v>1278.5</v>
      </c>
      <c r="M265" s="1557">
        <v>1238.5</v>
      </c>
      <c r="N265" s="1998">
        <f>7033-2173</f>
        <v>4860</v>
      </c>
      <c r="O265" s="1999">
        <v>1250.5</v>
      </c>
      <c r="P265" s="1937">
        <v>1348</v>
      </c>
      <c r="Q265" s="2000">
        <v>3017.4</v>
      </c>
      <c r="R265" s="2001">
        <v>3338</v>
      </c>
      <c r="S265" s="163"/>
      <c r="T265" s="163"/>
      <c r="U265" s="163"/>
      <c r="V265" s="1998">
        <v>7314.32</v>
      </c>
      <c r="W265" s="1998">
        <v>7606.89</v>
      </c>
      <c r="X265" s="163"/>
      <c r="Z265" s="2142"/>
    </row>
    <row r="266" spans="1:256" ht="39.65" customHeight="1" x14ac:dyDescent="0.25">
      <c r="A266" s="91">
        <v>4</v>
      </c>
      <c r="B266" s="52" t="s">
        <v>912</v>
      </c>
      <c r="C266" s="34"/>
      <c r="D266" s="34" t="s">
        <v>168</v>
      </c>
      <c r="E266" s="34" t="s">
        <v>166</v>
      </c>
      <c r="F266" s="34" t="s">
        <v>240</v>
      </c>
      <c r="G266" s="131"/>
      <c r="H266" s="131"/>
      <c r="I266" s="34"/>
      <c r="J266" s="51">
        <f>J267+J282</f>
        <v>1182</v>
      </c>
      <c r="K266" s="51"/>
      <c r="L266" s="51">
        <f t="shared" ref="L266:R266" si="170">L267+L282</f>
        <v>1182</v>
      </c>
      <c r="M266" s="1553">
        <f t="shared" si="170"/>
        <v>1022</v>
      </c>
      <c r="N266" s="1982">
        <f>N267+N282</f>
        <v>426</v>
      </c>
      <c r="O266" s="1958">
        <f t="shared" si="170"/>
        <v>1202</v>
      </c>
      <c r="P266" s="1944">
        <f t="shared" si="170"/>
        <v>676</v>
      </c>
      <c r="Q266" s="1996">
        <f t="shared" si="170"/>
        <v>1202</v>
      </c>
      <c r="R266" s="1997">
        <f t="shared" si="170"/>
        <v>1250.04</v>
      </c>
      <c r="V266" s="1982">
        <f>V267+V282</f>
        <v>502</v>
      </c>
      <c r="W266" s="1982">
        <f>W267+W282</f>
        <v>578.61</v>
      </c>
    </row>
    <row r="267" spans="1:256" ht="52" x14ac:dyDescent="0.25">
      <c r="A267" s="32"/>
      <c r="B267" s="157" t="s">
        <v>913</v>
      </c>
      <c r="C267" s="9"/>
      <c r="D267" s="9" t="s">
        <v>168</v>
      </c>
      <c r="E267" s="9" t="s">
        <v>166</v>
      </c>
      <c r="F267" s="9" t="s">
        <v>238</v>
      </c>
      <c r="G267" s="88"/>
      <c r="H267" s="88"/>
      <c r="I267" s="9"/>
      <c r="J267" s="1063">
        <f>J268</f>
        <v>496</v>
      </c>
      <c r="K267" s="1063"/>
      <c r="L267" s="1063">
        <f>L269+L278</f>
        <v>496</v>
      </c>
      <c r="M267" s="1125">
        <f>M269+M278</f>
        <v>336</v>
      </c>
      <c r="N267" s="1986">
        <f>N272+N277</f>
        <v>230</v>
      </c>
      <c r="O267" s="1947">
        <f>O268+O272</f>
        <v>506</v>
      </c>
      <c r="P267" s="1941">
        <f>P268+P272</f>
        <v>646</v>
      </c>
      <c r="Q267" s="1987">
        <f>Q272+Q277</f>
        <v>606</v>
      </c>
      <c r="R267" s="1988">
        <f>R272+R277</f>
        <v>630.20000000000005</v>
      </c>
      <c r="V267" s="1986">
        <f>V272+V277</f>
        <v>290</v>
      </c>
      <c r="W267" s="1986">
        <f>W272+W277</f>
        <v>350</v>
      </c>
    </row>
    <row r="268" spans="1:256" ht="39" hidden="1" x14ac:dyDescent="0.25">
      <c r="A268" s="32"/>
      <c r="B268" s="1093" t="s">
        <v>236</v>
      </c>
      <c r="C268" s="9"/>
      <c r="D268" s="9"/>
      <c r="E268" s="9"/>
      <c r="F268" s="9" t="s">
        <v>235</v>
      </c>
      <c r="G268" s="88"/>
      <c r="H268" s="88"/>
      <c r="I268" s="9"/>
      <c r="J268" s="1063">
        <f>J269+J278</f>
        <v>496</v>
      </c>
      <c r="K268" s="1063"/>
      <c r="L268" s="1063"/>
      <c r="M268" s="1125"/>
      <c r="N268" s="1986">
        <f t="shared" ref="N268:R270" si="171">N269</f>
        <v>0</v>
      </c>
      <c r="O268" s="1947">
        <f t="shared" si="171"/>
        <v>0</v>
      </c>
      <c r="P268" s="1941">
        <f t="shared" si="171"/>
        <v>0</v>
      </c>
      <c r="Q268" s="1987">
        <f t="shared" si="171"/>
        <v>0</v>
      </c>
      <c r="R268" s="1988">
        <f t="shared" si="171"/>
        <v>0</v>
      </c>
      <c r="V268" s="1986">
        <f t="shared" ref="V268:W270" si="172">V269</f>
        <v>0</v>
      </c>
      <c r="W268" s="1986">
        <f t="shared" si="172"/>
        <v>0</v>
      </c>
    </row>
    <row r="269" spans="1:256" ht="26" hidden="1" x14ac:dyDescent="0.25">
      <c r="A269" s="32"/>
      <c r="B269" s="49" t="s">
        <v>237</v>
      </c>
      <c r="C269" s="9"/>
      <c r="D269" s="9" t="s">
        <v>168</v>
      </c>
      <c r="E269" s="9" t="s">
        <v>166</v>
      </c>
      <c r="F269" s="9" t="s">
        <v>233</v>
      </c>
      <c r="G269" s="88"/>
      <c r="H269" s="88"/>
      <c r="I269" s="9"/>
      <c r="J269" s="1063">
        <f>J270</f>
        <v>296</v>
      </c>
      <c r="K269" s="1063"/>
      <c r="L269" s="1063">
        <f>L270</f>
        <v>296</v>
      </c>
      <c r="M269" s="1125">
        <f>M270</f>
        <v>136</v>
      </c>
      <c r="N269" s="1986">
        <f t="shared" si="171"/>
        <v>0</v>
      </c>
      <c r="O269" s="1947">
        <f t="shared" si="171"/>
        <v>0</v>
      </c>
      <c r="P269" s="1941">
        <f t="shared" si="171"/>
        <v>0</v>
      </c>
      <c r="Q269" s="1987">
        <f t="shared" si="171"/>
        <v>0</v>
      </c>
      <c r="R269" s="1988">
        <f t="shared" si="171"/>
        <v>0</v>
      </c>
      <c r="V269" s="1986">
        <f t="shared" si="172"/>
        <v>0</v>
      </c>
      <c r="W269" s="1986">
        <f t="shared" si="172"/>
        <v>0</v>
      </c>
    </row>
    <row r="270" spans="1:256" ht="25.15" hidden="1" customHeight="1" x14ac:dyDescent="0.25">
      <c r="A270" s="32"/>
      <c r="B270" s="1993" t="s">
        <v>4</v>
      </c>
      <c r="C270" s="9"/>
      <c r="D270" s="9" t="s">
        <v>168</v>
      </c>
      <c r="E270" s="9" t="s">
        <v>166</v>
      </c>
      <c r="F270" s="9" t="s">
        <v>233</v>
      </c>
      <c r="G270" s="88">
        <v>240</v>
      </c>
      <c r="H270" s="88"/>
      <c r="I270" s="9"/>
      <c r="J270" s="1063">
        <f>J271</f>
        <v>296</v>
      </c>
      <c r="K270" s="1063"/>
      <c r="L270" s="1063">
        <v>296</v>
      </c>
      <c r="M270" s="1125">
        <v>136</v>
      </c>
      <c r="N270" s="1986">
        <f t="shared" si="171"/>
        <v>0</v>
      </c>
      <c r="O270" s="1947">
        <f t="shared" si="171"/>
        <v>0</v>
      </c>
      <c r="P270" s="1941">
        <f t="shared" si="171"/>
        <v>0</v>
      </c>
      <c r="Q270" s="1987">
        <f t="shared" si="171"/>
        <v>0</v>
      </c>
      <c r="R270" s="1988">
        <f t="shared" si="171"/>
        <v>0</v>
      </c>
      <c r="V270" s="1986">
        <f t="shared" si="172"/>
        <v>0</v>
      </c>
      <c r="W270" s="1986">
        <f t="shared" si="172"/>
        <v>0</v>
      </c>
    </row>
    <row r="271" spans="1:256" ht="26" hidden="1" x14ac:dyDescent="0.3">
      <c r="A271" s="32"/>
      <c r="B271" s="2012" t="s">
        <v>221</v>
      </c>
      <c r="C271" s="9"/>
      <c r="D271" s="9"/>
      <c r="E271" s="9"/>
      <c r="F271" s="9" t="s">
        <v>233</v>
      </c>
      <c r="G271" s="88">
        <v>240</v>
      </c>
      <c r="H271" s="88">
        <v>3</v>
      </c>
      <c r="I271" s="9" t="s">
        <v>539</v>
      </c>
      <c r="J271" s="1063">
        <v>296</v>
      </c>
      <c r="K271" s="1063"/>
      <c r="L271" s="1063">
        <v>296</v>
      </c>
      <c r="M271" s="1125">
        <v>136</v>
      </c>
      <c r="N271" s="1986"/>
      <c r="O271" s="1947"/>
      <c r="P271" s="1941"/>
      <c r="Q271" s="1987"/>
      <c r="R271" s="1988"/>
      <c r="V271" s="1986"/>
      <c r="W271" s="1986"/>
    </row>
    <row r="272" spans="1:256" ht="39" x14ac:dyDescent="0.25">
      <c r="A272" s="32"/>
      <c r="B272" s="1093" t="s">
        <v>236</v>
      </c>
      <c r="C272" s="9"/>
      <c r="D272" s="9"/>
      <c r="E272" s="9"/>
      <c r="F272" s="9" t="s">
        <v>235</v>
      </c>
      <c r="G272" s="88"/>
      <c r="H272" s="88"/>
      <c r="I272" s="9"/>
      <c r="J272" s="1063">
        <f>J278</f>
        <v>200</v>
      </c>
      <c r="K272" s="1063"/>
      <c r="L272" s="1063"/>
      <c r="M272" s="1125"/>
      <c r="N272" s="1986">
        <f>N273</f>
        <v>210.2</v>
      </c>
      <c r="O272" s="1947">
        <f>O278+O273</f>
        <v>506</v>
      </c>
      <c r="P272" s="1941">
        <f>P278+P273</f>
        <v>646</v>
      </c>
      <c r="Q272" s="1987">
        <f>Q273</f>
        <v>376</v>
      </c>
      <c r="R272" s="1988">
        <f>R273</f>
        <v>391</v>
      </c>
      <c r="V272" s="1986">
        <f>V273</f>
        <v>20</v>
      </c>
      <c r="W272" s="1986">
        <f>W273</f>
        <v>30</v>
      </c>
    </row>
    <row r="273" spans="1:23" ht="26" x14ac:dyDescent="0.25">
      <c r="A273" s="32"/>
      <c r="B273" s="1098" t="s">
        <v>234</v>
      </c>
      <c r="C273" s="9"/>
      <c r="D273" s="9"/>
      <c r="E273" s="9"/>
      <c r="F273" s="9" t="s">
        <v>233</v>
      </c>
      <c r="G273" s="88"/>
      <c r="H273" s="88"/>
      <c r="I273" s="9"/>
      <c r="J273" s="1063"/>
      <c r="K273" s="1063"/>
      <c r="L273" s="1063"/>
      <c r="M273" s="1125"/>
      <c r="N273" s="1986">
        <f>N275</f>
        <v>210.2</v>
      </c>
      <c r="O273" s="1947">
        <f>O275</f>
        <v>320</v>
      </c>
      <c r="P273" s="1941">
        <f>P275</f>
        <v>340</v>
      </c>
      <c r="Q273" s="1987">
        <f>Q275</f>
        <v>376</v>
      </c>
      <c r="R273" s="1988">
        <f>R275</f>
        <v>391</v>
      </c>
      <c r="V273" s="1986">
        <f>V275</f>
        <v>20</v>
      </c>
      <c r="W273" s="1986">
        <f>W275</f>
        <v>30</v>
      </c>
    </row>
    <row r="274" spans="1:23" ht="26" x14ac:dyDescent="0.25">
      <c r="A274" s="32"/>
      <c r="B274" s="49" t="s">
        <v>1048</v>
      </c>
      <c r="C274" s="9"/>
      <c r="D274" s="9"/>
      <c r="E274" s="9"/>
      <c r="F274" s="9" t="s">
        <v>233</v>
      </c>
      <c r="G274" s="88">
        <v>200</v>
      </c>
      <c r="H274" s="88"/>
      <c r="I274" s="9"/>
      <c r="J274" s="1063"/>
      <c r="K274" s="1063"/>
      <c r="L274" s="1063"/>
      <c r="M274" s="1125"/>
      <c r="N274" s="1986">
        <f>N275</f>
        <v>210.2</v>
      </c>
      <c r="O274" s="1947"/>
      <c r="P274" s="1941"/>
      <c r="Q274" s="1987"/>
      <c r="R274" s="1988"/>
      <c r="V274" s="1986">
        <f t="shared" ref="V274:W274" si="173">V275</f>
        <v>20</v>
      </c>
      <c r="W274" s="1986">
        <f t="shared" si="173"/>
        <v>30</v>
      </c>
    </row>
    <row r="275" spans="1:23" ht="26" x14ac:dyDescent="0.25">
      <c r="A275" s="32"/>
      <c r="B275" s="1993" t="s">
        <v>4</v>
      </c>
      <c r="C275" s="9"/>
      <c r="D275" s="9"/>
      <c r="E275" s="9"/>
      <c r="F275" s="9" t="s">
        <v>233</v>
      </c>
      <c r="G275" s="88">
        <v>240</v>
      </c>
      <c r="H275" s="88"/>
      <c r="I275" s="9"/>
      <c r="J275" s="1063"/>
      <c r="K275" s="1063"/>
      <c r="L275" s="1063"/>
      <c r="M275" s="1125"/>
      <c r="N275" s="1986">
        <f t="shared" ref="N275:R275" si="174">N276</f>
        <v>210.2</v>
      </c>
      <c r="O275" s="1947">
        <f t="shared" si="174"/>
        <v>320</v>
      </c>
      <c r="P275" s="1941">
        <f t="shared" si="174"/>
        <v>340</v>
      </c>
      <c r="Q275" s="1987">
        <f t="shared" si="174"/>
        <v>376</v>
      </c>
      <c r="R275" s="1988">
        <f t="shared" si="174"/>
        <v>391</v>
      </c>
      <c r="V275" s="1986">
        <f t="shared" ref="V275:W275" si="175">V276</f>
        <v>20</v>
      </c>
      <c r="W275" s="1986">
        <f t="shared" si="175"/>
        <v>30</v>
      </c>
    </row>
    <row r="276" spans="1:23" ht="26" x14ac:dyDescent="0.3">
      <c r="A276" s="32"/>
      <c r="B276" s="336" t="s">
        <v>221</v>
      </c>
      <c r="C276" s="9"/>
      <c r="D276" s="9"/>
      <c r="E276" s="9"/>
      <c r="F276" s="9" t="s">
        <v>233</v>
      </c>
      <c r="G276" s="88">
        <v>240</v>
      </c>
      <c r="H276" s="9" t="s">
        <v>495</v>
      </c>
      <c r="I276" s="9" t="s">
        <v>539</v>
      </c>
      <c r="J276" s="1063"/>
      <c r="K276" s="1063"/>
      <c r="L276" s="1063"/>
      <c r="M276" s="1125"/>
      <c r="N276" s="1986">
        <f>10+200.2</f>
        <v>210.2</v>
      </c>
      <c r="O276" s="1947">
        <v>320</v>
      </c>
      <c r="P276" s="1941">
        <v>340</v>
      </c>
      <c r="Q276" s="1987">
        <v>376</v>
      </c>
      <c r="R276" s="1988">
        <v>391</v>
      </c>
      <c r="V276" s="1986">
        <v>20</v>
      </c>
      <c r="W276" s="1986">
        <v>30</v>
      </c>
    </row>
    <row r="277" spans="1:23" ht="13" x14ac:dyDescent="0.25">
      <c r="A277" s="32"/>
      <c r="B277" s="1093" t="s">
        <v>232</v>
      </c>
      <c r="C277" s="9"/>
      <c r="D277" s="9"/>
      <c r="E277" s="9"/>
      <c r="F277" s="9" t="s">
        <v>231</v>
      </c>
      <c r="G277" s="88"/>
      <c r="H277" s="88"/>
      <c r="I277" s="9"/>
      <c r="J277" s="1063"/>
      <c r="K277" s="1063"/>
      <c r="L277" s="1063"/>
      <c r="M277" s="1125"/>
      <c r="N277" s="1986">
        <f>N281</f>
        <v>19.800000000000011</v>
      </c>
      <c r="O277" s="1947">
        <f t="shared" ref="N277:R280" si="176">O278</f>
        <v>186</v>
      </c>
      <c r="P277" s="1941">
        <f t="shared" si="176"/>
        <v>306</v>
      </c>
      <c r="Q277" s="1987">
        <f t="shared" si="176"/>
        <v>230</v>
      </c>
      <c r="R277" s="1988">
        <f t="shared" si="176"/>
        <v>239.2</v>
      </c>
      <c r="V277" s="1986">
        <f>V281</f>
        <v>270</v>
      </c>
      <c r="W277" s="1986">
        <f>W281</f>
        <v>320</v>
      </c>
    </row>
    <row r="278" spans="1:23" ht="13" x14ac:dyDescent="0.25">
      <c r="A278" s="32"/>
      <c r="B278" s="1098" t="s">
        <v>230</v>
      </c>
      <c r="C278" s="9"/>
      <c r="D278" s="9" t="s">
        <v>168</v>
      </c>
      <c r="E278" s="9" t="s">
        <v>166</v>
      </c>
      <c r="F278" s="9" t="s">
        <v>229</v>
      </c>
      <c r="G278" s="88"/>
      <c r="H278" s="88"/>
      <c r="I278" s="9"/>
      <c r="J278" s="1063">
        <f>J280</f>
        <v>200</v>
      </c>
      <c r="K278" s="1063"/>
      <c r="L278" s="1063">
        <f t="shared" ref="L278:R278" si="177">L280</f>
        <v>200</v>
      </c>
      <c r="M278" s="1125">
        <f t="shared" si="177"/>
        <v>200</v>
      </c>
      <c r="N278" s="1986">
        <f t="shared" si="177"/>
        <v>19.800000000000011</v>
      </c>
      <c r="O278" s="1947">
        <f t="shared" si="177"/>
        <v>186</v>
      </c>
      <c r="P278" s="1941">
        <f t="shared" si="177"/>
        <v>306</v>
      </c>
      <c r="Q278" s="1987">
        <f t="shared" si="177"/>
        <v>230</v>
      </c>
      <c r="R278" s="1988">
        <f t="shared" si="177"/>
        <v>239.2</v>
      </c>
      <c r="V278" s="1986">
        <f>V280</f>
        <v>270</v>
      </c>
      <c r="W278" s="1986">
        <f>W280</f>
        <v>320</v>
      </c>
    </row>
    <row r="279" spans="1:23" ht="26" x14ac:dyDescent="0.25">
      <c r="A279" s="32"/>
      <c r="B279" s="49" t="s">
        <v>1048</v>
      </c>
      <c r="C279" s="9"/>
      <c r="D279" s="9"/>
      <c r="E279" s="9"/>
      <c r="F279" s="9" t="s">
        <v>229</v>
      </c>
      <c r="G279" s="88">
        <v>200</v>
      </c>
      <c r="H279" s="88"/>
      <c r="I279" s="9"/>
      <c r="J279" s="1063"/>
      <c r="K279" s="1063"/>
      <c r="L279" s="1063"/>
      <c r="M279" s="1125"/>
      <c r="N279" s="1986">
        <f>N280</f>
        <v>19.800000000000011</v>
      </c>
      <c r="O279" s="1947"/>
      <c r="P279" s="1941"/>
      <c r="Q279" s="1987"/>
      <c r="R279" s="1988"/>
      <c r="V279" s="1986">
        <f t="shared" ref="V279:W279" si="178">V280</f>
        <v>270</v>
      </c>
      <c r="W279" s="1986">
        <f t="shared" si="178"/>
        <v>320</v>
      </c>
    </row>
    <row r="280" spans="1:23" ht="25.15" customHeight="1" x14ac:dyDescent="0.25">
      <c r="A280" s="32"/>
      <c r="B280" s="1993" t="s">
        <v>4</v>
      </c>
      <c r="C280" s="9"/>
      <c r="D280" s="9" t="s">
        <v>168</v>
      </c>
      <c r="E280" s="9" t="s">
        <v>166</v>
      </c>
      <c r="F280" s="9" t="s">
        <v>229</v>
      </c>
      <c r="G280" s="88">
        <v>240</v>
      </c>
      <c r="H280" s="88"/>
      <c r="I280" s="9"/>
      <c r="J280" s="1063">
        <f>J281</f>
        <v>200</v>
      </c>
      <c r="K280" s="1063"/>
      <c r="L280" s="1063">
        <v>200</v>
      </c>
      <c r="M280" s="1125">
        <v>200</v>
      </c>
      <c r="N280" s="1986">
        <f t="shared" si="176"/>
        <v>19.800000000000011</v>
      </c>
      <c r="O280" s="1947">
        <f t="shared" si="176"/>
        <v>186</v>
      </c>
      <c r="P280" s="1941">
        <f t="shared" si="176"/>
        <v>306</v>
      </c>
      <c r="Q280" s="1987">
        <f t="shared" si="176"/>
        <v>230</v>
      </c>
      <c r="R280" s="1988">
        <f t="shared" si="176"/>
        <v>239.2</v>
      </c>
      <c r="V280" s="1986">
        <f t="shared" ref="V280:W280" si="179">V281</f>
        <v>270</v>
      </c>
      <c r="W280" s="1986">
        <f t="shared" si="179"/>
        <v>320</v>
      </c>
    </row>
    <row r="281" spans="1:23" ht="26" x14ac:dyDescent="0.3">
      <c r="A281" s="32"/>
      <c r="B281" s="336" t="s">
        <v>221</v>
      </c>
      <c r="C281" s="9"/>
      <c r="D281" s="9"/>
      <c r="E281" s="9"/>
      <c r="F281" s="9" t="s">
        <v>229</v>
      </c>
      <c r="G281" s="88">
        <v>240</v>
      </c>
      <c r="H281" s="9" t="s">
        <v>495</v>
      </c>
      <c r="I281" s="9" t="s">
        <v>539</v>
      </c>
      <c r="J281" s="1063">
        <v>200</v>
      </c>
      <c r="K281" s="1063"/>
      <c r="L281" s="1063">
        <v>200</v>
      </c>
      <c r="M281" s="1125">
        <v>200</v>
      </c>
      <c r="N281" s="1986">
        <f>220-200.2</f>
        <v>19.800000000000011</v>
      </c>
      <c r="O281" s="1947">
        <v>186</v>
      </c>
      <c r="P281" s="1941">
        <v>306</v>
      </c>
      <c r="Q281" s="1987">
        <v>230</v>
      </c>
      <c r="R281" s="1988">
        <v>239.2</v>
      </c>
      <c r="V281" s="1986">
        <v>270</v>
      </c>
      <c r="W281" s="1986">
        <v>320</v>
      </c>
    </row>
    <row r="282" spans="1:23" ht="52" x14ac:dyDescent="0.25">
      <c r="A282" s="32"/>
      <c r="B282" s="157" t="s">
        <v>783</v>
      </c>
      <c r="C282" s="34"/>
      <c r="D282" s="9" t="s">
        <v>168</v>
      </c>
      <c r="E282" s="9" t="s">
        <v>166</v>
      </c>
      <c r="F282" s="9" t="s">
        <v>227</v>
      </c>
      <c r="G282" s="9"/>
      <c r="H282" s="9"/>
      <c r="I282" s="9"/>
      <c r="J282" s="1063">
        <f>J284</f>
        <v>686</v>
      </c>
      <c r="K282" s="1063"/>
      <c r="L282" s="1063">
        <f>L284</f>
        <v>686</v>
      </c>
      <c r="M282" s="1125">
        <f>M284</f>
        <v>686</v>
      </c>
      <c r="N282" s="1986">
        <f t="shared" ref="N282:R283" si="180">N283</f>
        <v>196</v>
      </c>
      <c r="O282" s="1947">
        <f t="shared" si="180"/>
        <v>696</v>
      </c>
      <c r="P282" s="1941">
        <f t="shared" si="180"/>
        <v>30</v>
      </c>
      <c r="Q282" s="1987">
        <f t="shared" si="180"/>
        <v>596</v>
      </c>
      <c r="R282" s="1988">
        <f t="shared" si="180"/>
        <v>619.84</v>
      </c>
      <c r="V282" s="1986">
        <f t="shared" ref="V282:W283" si="181">V283</f>
        <v>212</v>
      </c>
      <c r="W282" s="1986">
        <f t="shared" si="181"/>
        <v>228.61</v>
      </c>
    </row>
    <row r="283" spans="1:23" ht="39" x14ac:dyDescent="0.25">
      <c r="A283" s="32"/>
      <c r="B283" s="1093" t="s">
        <v>226</v>
      </c>
      <c r="C283" s="34"/>
      <c r="D283" s="9"/>
      <c r="E283" s="9"/>
      <c r="F283" s="9" t="s">
        <v>225</v>
      </c>
      <c r="G283" s="9"/>
      <c r="H283" s="9"/>
      <c r="I283" s="9"/>
      <c r="J283" s="1063">
        <f>J282</f>
        <v>686</v>
      </c>
      <c r="K283" s="1063"/>
      <c r="L283" s="1063"/>
      <c r="M283" s="1125"/>
      <c r="N283" s="1986">
        <f t="shared" si="180"/>
        <v>196</v>
      </c>
      <c r="O283" s="1947">
        <f t="shared" si="180"/>
        <v>696</v>
      </c>
      <c r="P283" s="1941">
        <f t="shared" si="180"/>
        <v>30</v>
      </c>
      <c r="Q283" s="1987">
        <f t="shared" si="180"/>
        <v>596</v>
      </c>
      <c r="R283" s="1988">
        <f t="shared" si="180"/>
        <v>619.84</v>
      </c>
      <c r="V283" s="1986">
        <f t="shared" si="181"/>
        <v>212</v>
      </c>
      <c r="W283" s="1986">
        <f t="shared" si="181"/>
        <v>228.61</v>
      </c>
    </row>
    <row r="284" spans="1:23" ht="13" x14ac:dyDescent="0.25">
      <c r="A284" s="32"/>
      <c r="B284" s="1098" t="s">
        <v>224</v>
      </c>
      <c r="C284" s="34"/>
      <c r="D284" s="9" t="s">
        <v>168</v>
      </c>
      <c r="E284" s="9" t="s">
        <v>166</v>
      </c>
      <c r="F284" s="9" t="s">
        <v>220</v>
      </c>
      <c r="G284" s="34"/>
      <c r="H284" s="34"/>
      <c r="I284" s="9"/>
      <c r="J284" s="1063">
        <f>J287</f>
        <v>686</v>
      </c>
      <c r="K284" s="1063"/>
      <c r="L284" s="1063">
        <f t="shared" ref="L284:R284" si="182">L287</f>
        <v>686</v>
      </c>
      <c r="M284" s="1125">
        <f t="shared" si="182"/>
        <v>686</v>
      </c>
      <c r="N284" s="1986">
        <f t="shared" si="182"/>
        <v>196</v>
      </c>
      <c r="O284" s="1947">
        <f t="shared" si="182"/>
        <v>696</v>
      </c>
      <c r="P284" s="1941">
        <f t="shared" si="182"/>
        <v>30</v>
      </c>
      <c r="Q284" s="1987">
        <f t="shared" si="182"/>
        <v>596</v>
      </c>
      <c r="R284" s="1988">
        <f t="shared" si="182"/>
        <v>619.84</v>
      </c>
      <c r="V284" s="1986">
        <f t="shared" ref="V284:W284" si="183">V287</f>
        <v>212</v>
      </c>
      <c r="W284" s="1986">
        <f t="shared" si="183"/>
        <v>228.61</v>
      </c>
    </row>
    <row r="285" spans="1:23" ht="40.5" hidden="1" customHeight="1" x14ac:dyDescent="0.25">
      <c r="A285" s="32"/>
      <c r="B285" s="42" t="s">
        <v>223</v>
      </c>
      <c r="C285" s="160"/>
      <c r="D285" s="31" t="s">
        <v>168</v>
      </c>
      <c r="E285" s="31" t="s">
        <v>166</v>
      </c>
      <c r="F285" s="31" t="s">
        <v>222</v>
      </c>
      <c r="G285" s="161"/>
      <c r="H285" s="161"/>
      <c r="I285" s="31" t="s">
        <v>166</v>
      </c>
      <c r="J285" s="1069"/>
      <c r="K285" s="1069"/>
      <c r="L285" s="1069"/>
      <c r="M285" s="1436"/>
      <c r="N285" s="1986"/>
      <c r="O285" s="1947"/>
      <c r="P285" s="1947"/>
      <c r="Q285" s="2010"/>
      <c r="R285" s="1988"/>
      <c r="V285" s="1986"/>
      <c r="W285" s="1986"/>
    </row>
    <row r="286" spans="1:23" ht="40.5" customHeight="1" x14ac:dyDescent="0.25">
      <c r="A286" s="32"/>
      <c r="B286" s="49" t="s">
        <v>1048</v>
      </c>
      <c r="C286" s="160"/>
      <c r="D286" s="31"/>
      <c r="E286" s="31"/>
      <c r="F286" s="9" t="s">
        <v>220</v>
      </c>
      <c r="G286" s="88">
        <v>200</v>
      </c>
      <c r="H286" s="161"/>
      <c r="I286" s="31"/>
      <c r="J286" s="1069"/>
      <c r="K286" s="1069"/>
      <c r="L286" s="1069"/>
      <c r="M286" s="1436"/>
      <c r="N286" s="1986">
        <f>N287</f>
        <v>196</v>
      </c>
      <c r="O286" s="1947"/>
      <c r="P286" s="1947"/>
      <c r="Q286" s="2010"/>
      <c r="R286" s="1988"/>
      <c r="V286" s="1986">
        <f t="shared" ref="V286:W286" si="184">V287</f>
        <v>212</v>
      </c>
      <c r="W286" s="1986">
        <f t="shared" si="184"/>
        <v>228.61</v>
      </c>
    </row>
    <row r="287" spans="1:23" ht="25.15" customHeight="1" x14ac:dyDescent="0.25">
      <c r="A287" s="32"/>
      <c r="B287" s="1993" t="s">
        <v>4</v>
      </c>
      <c r="C287" s="160"/>
      <c r="D287" s="9" t="s">
        <v>168</v>
      </c>
      <c r="E287" s="9" t="s">
        <v>166</v>
      </c>
      <c r="F287" s="9" t="s">
        <v>220</v>
      </c>
      <c r="G287" s="33" t="s">
        <v>1</v>
      </c>
      <c r="H287" s="33"/>
      <c r="I287" s="9"/>
      <c r="J287" s="1063">
        <v>686</v>
      </c>
      <c r="K287" s="1069"/>
      <c r="L287" s="1063">
        <v>686</v>
      </c>
      <c r="M287" s="1125">
        <v>686</v>
      </c>
      <c r="N287" s="1986">
        <f>N288</f>
        <v>196</v>
      </c>
      <c r="O287" s="1947">
        <f>O288</f>
        <v>696</v>
      </c>
      <c r="P287" s="1941">
        <f>P288</f>
        <v>30</v>
      </c>
      <c r="Q287" s="1987">
        <f>Q288</f>
        <v>596</v>
      </c>
      <c r="R287" s="1988">
        <f>R288</f>
        <v>619.84</v>
      </c>
      <c r="V287" s="1986">
        <f>V288</f>
        <v>212</v>
      </c>
      <c r="W287" s="1986">
        <f>W288</f>
        <v>228.61</v>
      </c>
    </row>
    <row r="288" spans="1:23" ht="27.65" customHeight="1" x14ac:dyDescent="0.3">
      <c r="A288" s="32"/>
      <c r="B288" s="336" t="s">
        <v>221</v>
      </c>
      <c r="C288" s="160"/>
      <c r="D288" s="9"/>
      <c r="E288" s="9"/>
      <c r="F288" s="9" t="s">
        <v>220</v>
      </c>
      <c r="G288" s="33" t="s">
        <v>1</v>
      </c>
      <c r="H288" s="9" t="s">
        <v>495</v>
      </c>
      <c r="I288" s="9" t="s">
        <v>539</v>
      </c>
      <c r="J288" s="1063">
        <v>686</v>
      </c>
      <c r="K288" s="1069"/>
      <c r="L288" s="1063">
        <v>686</v>
      </c>
      <c r="M288" s="1125">
        <v>686</v>
      </c>
      <c r="N288" s="1986">
        <v>196</v>
      </c>
      <c r="O288" s="1947">
        <v>696</v>
      </c>
      <c r="P288" s="1941">
        <v>30</v>
      </c>
      <c r="Q288" s="1987">
        <v>596</v>
      </c>
      <c r="R288" s="1988">
        <v>619.84</v>
      </c>
      <c r="V288" s="1986">
        <v>212</v>
      </c>
      <c r="W288" s="1986">
        <v>228.61</v>
      </c>
    </row>
    <row r="289" spans="1:26" s="83" customFormat="1" ht="38.25" customHeight="1" x14ac:dyDescent="0.3">
      <c r="A289" s="91">
        <v>5</v>
      </c>
      <c r="B289" s="52" t="s">
        <v>914</v>
      </c>
      <c r="C289" s="89"/>
      <c r="D289" s="89" t="s">
        <v>52</v>
      </c>
      <c r="E289" s="89" t="s">
        <v>58</v>
      </c>
      <c r="F289" s="89" t="s">
        <v>218</v>
      </c>
      <c r="G289" s="131"/>
      <c r="H289" s="131"/>
      <c r="I289" s="89"/>
      <c r="J289" s="51">
        <f>J290+J308</f>
        <v>1600</v>
      </c>
      <c r="K289" s="158"/>
      <c r="L289" s="51">
        <f t="shared" ref="L289:R289" si="185">L290+L308</f>
        <v>11444.685000000001</v>
      </c>
      <c r="M289" s="1553">
        <f t="shared" si="185"/>
        <v>14038.547</v>
      </c>
      <c r="N289" s="1982">
        <f t="shared" si="185"/>
        <v>2238.3649999999998</v>
      </c>
      <c r="O289" s="1958">
        <f t="shared" si="185"/>
        <v>5740</v>
      </c>
      <c r="P289" s="1944">
        <f t="shared" si="185"/>
        <v>5980</v>
      </c>
      <c r="Q289" s="1996">
        <f t="shared" si="185"/>
        <v>3908.3220000000001</v>
      </c>
      <c r="R289" s="1997">
        <f t="shared" si="185"/>
        <v>3021.3209999999999</v>
      </c>
      <c r="S289" s="84"/>
      <c r="T289" s="84"/>
      <c r="U289" s="84"/>
      <c r="V289" s="1982">
        <f t="shared" ref="V289:W289" si="186">V290+V308</f>
        <v>2246.0999999999995</v>
      </c>
      <c r="W289" s="1982">
        <f t="shared" si="186"/>
        <v>1976.4</v>
      </c>
      <c r="X289" s="84"/>
      <c r="Z289" s="2141"/>
    </row>
    <row r="290" spans="1:26" s="83" customFormat="1" ht="26" x14ac:dyDescent="0.3">
      <c r="A290" s="85"/>
      <c r="B290" s="157" t="s">
        <v>217</v>
      </c>
      <c r="C290" s="33"/>
      <c r="D290" s="33" t="s">
        <v>52</v>
      </c>
      <c r="E290" s="33" t="s">
        <v>58</v>
      </c>
      <c r="F290" s="33" t="s">
        <v>216</v>
      </c>
      <c r="G290" s="33"/>
      <c r="H290" s="33"/>
      <c r="I290" s="33"/>
      <c r="J290" s="1061">
        <f>J291</f>
        <v>800</v>
      </c>
      <c r="K290" s="1063"/>
      <c r="L290" s="1063">
        <f>L292</f>
        <v>10777.685000000001</v>
      </c>
      <c r="M290" s="1550">
        <f>M292</f>
        <v>13305.547</v>
      </c>
      <c r="N290" s="1986">
        <f>N291</f>
        <v>1872.6869999999997</v>
      </c>
      <c r="O290" s="1947">
        <f>O291</f>
        <v>0</v>
      </c>
      <c r="P290" s="1941">
        <f>P291</f>
        <v>0</v>
      </c>
      <c r="Q290" s="1987">
        <f>Q291</f>
        <v>1726.1220000000001</v>
      </c>
      <c r="R290" s="1988">
        <f>R291</f>
        <v>1726.1220000000001</v>
      </c>
      <c r="S290" s="84"/>
      <c r="T290" s="84"/>
      <c r="U290" s="84"/>
      <c r="V290" s="1986">
        <f>V291</f>
        <v>1714.7219999999998</v>
      </c>
      <c r="W290" s="2150">
        <f>W291</f>
        <v>766.4</v>
      </c>
      <c r="X290" s="84"/>
      <c r="Z290" s="2141"/>
    </row>
    <row r="291" spans="1:26" s="83" customFormat="1" ht="59.15" customHeight="1" x14ac:dyDescent="0.3">
      <c r="A291" s="85"/>
      <c r="B291" s="1093" t="s">
        <v>1040</v>
      </c>
      <c r="C291" s="33"/>
      <c r="D291" s="33"/>
      <c r="E291" s="33"/>
      <c r="F291" s="33" t="s">
        <v>214</v>
      </c>
      <c r="G291" s="89"/>
      <c r="H291" s="89"/>
      <c r="I291" s="33"/>
      <c r="J291" s="1061">
        <f>J295+J300+J303+J307</f>
        <v>800</v>
      </c>
      <c r="K291" s="1063"/>
      <c r="L291" s="1063"/>
      <c r="M291" s="1550"/>
      <c r="N291" s="1986">
        <f>N295+N300+N307</f>
        <v>1872.6869999999997</v>
      </c>
      <c r="O291" s="1947">
        <f>O295+O300+O307</f>
        <v>0</v>
      </c>
      <c r="P291" s="1941">
        <f>P295+P300+P307</f>
        <v>0</v>
      </c>
      <c r="Q291" s="1987">
        <f>Q295+Q300+Q307</f>
        <v>1726.1220000000001</v>
      </c>
      <c r="R291" s="1988">
        <f>R295+R300+R307</f>
        <v>1726.1220000000001</v>
      </c>
      <c r="S291" s="84"/>
      <c r="T291" s="84"/>
      <c r="U291" s="84"/>
      <c r="V291" s="1986">
        <f>V295+V300+V307</f>
        <v>1714.7219999999998</v>
      </c>
      <c r="W291" s="2150">
        <f>W295+W300+W307</f>
        <v>766.4</v>
      </c>
      <c r="X291" s="84"/>
      <c r="Z291" s="2141"/>
    </row>
    <row r="292" spans="1:26" s="83" customFormat="1" ht="13" hidden="1" x14ac:dyDescent="0.3">
      <c r="A292" s="85"/>
      <c r="B292" s="1098" t="s">
        <v>201</v>
      </c>
      <c r="C292" s="33"/>
      <c r="D292" s="33" t="s">
        <v>52</v>
      </c>
      <c r="E292" s="33" t="s">
        <v>58</v>
      </c>
      <c r="F292" s="33" t="s">
        <v>213</v>
      </c>
      <c r="G292" s="33"/>
      <c r="H292" s="33"/>
      <c r="I292" s="33"/>
      <c r="J292" s="1061">
        <f>J294</f>
        <v>0</v>
      </c>
      <c r="K292" s="1063"/>
      <c r="L292" s="1061">
        <f>L298</f>
        <v>10777.685000000001</v>
      </c>
      <c r="M292" s="1550">
        <f>M298</f>
        <v>13305.547</v>
      </c>
      <c r="N292" s="2248">
        <f>N294</f>
        <v>0</v>
      </c>
      <c r="O292" s="2249">
        <f>O294</f>
        <v>0</v>
      </c>
      <c r="P292" s="2250">
        <f>P294</f>
        <v>0</v>
      </c>
      <c r="Q292" s="2251">
        <f>Q294</f>
        <v>0</v>
      </c>
      <c r="R292" s="2252">
        <f>R294</f>
        <v>0</v>
      </c>
      <c r="S292" s="2253"/>
      <c r="T292" s="2253"/>
      <c r="U292" s="2253"/>
      <c r="V292" s="2248">
        <f>V294</f>
        <v>0</v>
      </c>
      <c r="W292" s="2150">
        <f>W294</f>
        <v>0</v>
      </c>
      <c r="X292" s="84"/>
      <c r="Z292" s="2141"/>
    </row>
    <row r="293" spans="1:26" s="83" customFormat="1" ht="26" hidden="1" x14ac:dyDescent="0.3">
      <c r="A293" s="85"/>
      <c r="B293" s="49" t="s">
        <v>1048</v>
      </c>
      <c r="C293" s="33"/>
      <c r="D293" s="33"/>
      <c r="E293" s="33"/>
      <c r="F293" s="33" t="s">
        <v>213</v>
      </c>
      <c r="G293" s="33" t="s">
        <v>955</v>
      </c>
      <c r="H293" s="33"/>
      <c r="I293" s="33"/>
      <c r="J293" s="1061"/>
      <c r="K293" s="1063"/>
      <c r="L293" s="1061"/>
      <c r="M293" s="1550"/>
      <c r="N293" s="2248">
        <f>N294</f>
        <v>0</v>
      </c>
      <c r="O293" s="2249"/>
      <c r="P293" s="2250"/>
      <c r="Q293" s="2251"/>
      <c r="R293" s="2252"/>
      <c r="S293" s="2253"/>
      <c r="T293" s="2253"/>
      <c r="U293" s="2253"/>
      <c r="V293" s="2248">
        <f>V294</f>
        <v>0</v>
      </c>
      <c r="W293" s="2150">
        <f>W294</f>
        <v>0</v>
      </c>
      <c r="X293" s="84"/>
      <c r="Z293" s="2141"/>
    </row>
    <row r="294" spans="1:26" s="83" customFormat="1" ht="26" hidden="1" x14ac:dyDescent="0.3">
      <c r="A294" s="85"/>
      <c r="B294" s="1993" t="s">
        <v>4</v>
      </c>
      <c r="C294" s="33"/>
      <c r="D294" s="33"/>
      <c r="E294" s="33"/>
      <c r="F294" s="33" t="s">
        <v>213</v>
      </c>
      <c r="G294" s="33" t="s">
        <v>1</v>
      </c>
      <c r="H294" s="33"/>
      <c r="I294" s="33"/>
      <c r="J294" s="1061">
        <f>J295</f>
        <v>0</v>
      </c>
      <c r="K294" s="1063"/>
      <c r="L294" s="1061"/>
      <c r="M294" s="1550"/>
      <c r="N294" s="2248">
        <v>0</v>
      </c>
      <c r="O294" s="2249">
        <f t="shared" ref="O294:R294" si="187">O295</f>
        <v>0</v>
      </c>
      <c r="P294" s="2250">
        <f t="shared" si="187"/>
        <v>0</v>
      </c>
      <c r="Q294" s="2251">
        <f t="shared" si="187"/>
        <v>0</v>
      </c>
      <c r="R294" s="2252">
        <f t="shared" si="187"/>
        <v>0</v>
      </c>
      <c r="S294" s="2253"/>
      <c r="T294" s="2253"/>
      <c r="U294" s="2253"/>
      <c r="V294" s="2248">
        <f t="shared" ref="V294:W294" si="188">V295</f>
        <v>0</v>
      </c>
      <c r="W294" s="2150">
        <f t="shared" si="188"/>
        <v>0</v>
      </c>
      <c r="X294" s="84"/>
      <c r="Z294" s="2141"/>
    </row>
    <row r="295" spans="1:26" s="83" customFormat="1" ht="13" hidden="1" x14ac:dyDescent="0.3">
      <c r="A295" s="85"/>
      <c r="B295" s="744" t="s">
        <v>60</v>
      </c>
      <c r="C295" s="33"/>
      <c r="D295" s="33"/>
      <c r="E295" s="33"/>
      <c r="F295" s="33" t="s">
        <v>213</v>
      </c>
      <c r="G295" s="33" t="s">
        <v>1</v>
      </c>
      <c r="H295" s="9" t="s">
        <v>452</v>
      </c>
      <c r="I295" s="9" t="s">
        <v>539</v>
      </c>
      <c r="J295" s="1061"/>
      <c r="K295" s="1063"/>
      <c r="L295" s="1061"/>
      <c r="M295" s="1550"/>
      <c r="N295" s="2248">
        <v>0</v>
      </c>
      <c r="O295" s="2249"/>
      <c r="P295" s="2250"/>
      <c r="Q295" s="2251"/>
      <c r="R295" s="2252"/>
      <c r="S295" s="2253"/>
      <c r="T295" s="2253"/>
      <c r="U295" s="2253"/>
      <c r="V295" s="2248">
        <v>0</v>
      </c>
      <c r="W295" s="2150">
        <v>0</v>
      </c>
      <c r="X295" s="84"/>
      <c r="Z295" s="2141"/>
    </row>
    <row r="296" spans="1:26" s="83" customFormat="1" ht="26" x14ac:dyDescent="0.3">
      <c r="A296" s="85"/>
      <c r="B296" s="1098" t="s">
        <v>212</v>
      </c>
      <c r="C296" s="33"/>
      <c r="D296" s="33"/>
      <c r="E296" s="33"/>
      <c r="F296" s="33" t="s">
        <v>984</v>
      </c>
      <c r="G296" s="33"/>
      <c r="H296" s="33"/>
      <c r="I296" s="33"/>
      <c r="J296" s="1061">
        <f>J298</f>
        <v>800</v>
      </c>
      <c r="K296" s="1063"/>
      <c r="L296" s="1061"/>
      <c r="M296" s="1550"/>
      <c r="N296" s="1986">
        <f>N298</f>
        <v>766.39999999999964</v>
      </c>
      <c r="O296" s="1947">
        <f>O298</f>
        <v>0</v>
      </c>
      <c r="P296" s="1941">
        <f>P298</f>
        <v>0</v>
      </c>
      <c r="Q296" s="1987">
        <f>Q298</f>
        <v>1726.1220000000001</v>
      </c>
      <c r="R296" s="1988">
        <f>R298</f>
        <v>1726.1220000000001</v>
      </c>
      <c r="S296" s="84"/>
      <c r="T296" s="84"/>
      <c r="U296" s="84"/>
      <c r="V296" s="1986">
        <f>V298</f>
        <v>766.39999999999975</v>
      </c>
      <c r="W296" s="2150">
        <f>W298</f>
        <v>383.2</v>
      </c>
      <c r="X296" s="84"/>
      <c r="Z296" s="2141"/>
    </row>
    <row r="297" spans="1:26" s="83" customFormat="1" ht="26" x14ac:dyDescent="0.3">
      <c r="A297" s="85"/>
      <c r="B297" s="49" t="s">
        <v>1048</v>
      </c>
      <c r="C297" s="33"/>
      <c r="D297" s="33"/>
      <c r="E297" s="33"/>
      <c r="F297" s="33" t="s">
        <v>984</v>
      </c>
      <c r="G297" s="33" t="s">
        <v>955</v>
      </c>
      <c r="H297" s="33"/>
      <c r="I297" s="33"/>
      <c r="J297" s="1061"/>
      <c r="K297" s="1063"/>
      <c r="L297" s="1061"/>
      <c r="M297" s="1550"/>
      <c r="N297" s="1986">
        <f>N298</f>
        <v>766.39999999999964</v>
      </c>
      <c r="O297" s="1947"/>
      <c r="P297" s="1941"/>
      <c r="Q297" s="1987"/>
      <c r="R297" s="1988"/>
      <c r="S297" s="84"/>
      <c r="T297" s="84"/>
      <c r="U297" s="84"/>
      <c r="V297" s="1986">
        <f>V298</f>
        <v>766.39999999999975</v>
      </c>
      <c r="W297" s="2150">
        <f>W298</f>
        <v>383.2</v>
      </c>
      <c r="X297" s="84"/>
      <c r="Z297" s="2141"/>
    </row>
    <row r="298" spans="1:26" s="83" customFormat="1" ht="25.15" customHeight="1" x14ac:dyDescent="0.3">
      <c r="A298" s="85"/>
      <c r="B298" s="1993" t="s">
        <v>4</v>
      </c>
      <c r="C298" s="33"/>
      <c r="D298" s="33" t="s">
        <v>52</v>
      </c>
      <c r="E298" s="33" t="s">
        <v>58</v>
      </c>
      <c r="F298" s="33" t="s">
        <v>984</v>
      </c>
      <c r="G298" s="33" t="s">
        <v>1</v>
      </c>
      <c r="H298" s="33"/>
      <c r="I298" s="33"/>
      <c r="J298" s="1061">
        <f>J300</f>
        <v>800</v>
      </c>
      <c r="K298" s="1063"/>
      <c r="L298" s="1061">
        <f>22480.2-11702.515</f>
        <v>10777.685000000001</v>
      </c>
      <c r="M298" s="1550">
        <v>13305.547</v>
      </c>
      <c r="N298" s="1986">
        <f>N300</f>
        <v>766.39999999999964</v>
      </c>
      <c r="O298" s="1947">
        <f>O300</f>
        <v>0</v>
      </c>
      <c r="P298" s="1941">
        <f>P300</f>
        <v>0</v>
      </c>
      <c r="Q298" s="1987">
        <f>Q300</f>
        <v>1726.1220000000001</v>
      </c>
      <c r="R298" s="1988">
        <f>R300</f>
        <v>1726.1220000000001</v>
      </c>
      <c r="S298" s="84"/>
      <c r="T298" s="84"/>
      <c r="U298" s="84"/>
      <c r="V298" s="1986">
        <f>V300</f>
        <v>766.39999999999975</v>
      </c>
      <c r="W298" s="2150">
        <f>W300</f>
        <v>383.2</v>
      </c>
      <c r="X298" s="84"/>
      <c r="Z298" s="2141"/>
    </row>
    <row r="299" spans="1:26" s="83" customFormat="1" ht="52" hidden="1" x14ac:dyDescent="0.3">
      <c r="A299" s="85"/>
      <c r="B299" s="90" t="s">
        <v>211</v>
      </c>
      <c r="C299" s="89"/>
      <c r="D299" s="33" t="s">
        <v>52</v>
      </c>
      <c r="E299" s="33" t="s">
        <v>58</v>
      </c>
      <c r="F299" s="33" t="s">
        <v>210</v>
      </c>
      <c r="G299" s="89"/>
      <c r="H299" s="89"/>
      <c r="I299" s="33" t="s">
        <v>58</v>
      </c>
      <c r="J299" s="1063"/>
      <c r="K299" s="1063"/>
      <c r="L299" s="1063"/>
      <c r="M299" s="1125"/>
      <c r="N299" s="1986"/>
      <c r="O299" s="1947"/>
      <c r="P299" s="1941"/>
      <c r="Q299" s="1987"/>
      <c r="R299" s="1988"/>
      <c r="S299" s="84"/>
      <c r="T299" s="84"/>
      <c r="U299" s="84"/>
      <c r="V299" s="1986"/>
      <c r="W299" s="2150"/>
      <c r="X299" s="84"/>
      <c r="Z299" s="2141"/>
    </row>
    <row r="300" spans="1:26" s="83" customFormat="1" ht="13" x14ac:dyDescent="0.3">
      <c r="A300" s="85"/>
      <c r="B300" s="744" t="s">
        <v>60</v>
      </c>
      <c r="C300" s="89"/>
      <c r="D300" s="33"/>
      <c r="E300" s="33"/>
      <c r="F300" s="33" t="s">
        <v>984</v>
      </c>
      <c r="G300" s="33" t="s">
        <v>1</v>
      </c>
      <c r="H300" s="9" t="s">
        <v>452</v>
      </c>
      <c r="I300" s="9" t="s">
        <v>539</v>
      </c>
      <c r="J300" s="1061">
        <v>800</v>
      </c>
      <c r="K300" s="1063"/>
      <c r="L300" s="1061">
        <f>22480.2-11702.515</f>
        <v>10777.685000000001</v>
      </c>
      <c r="M300" s="1550">
        <v>13305.547</v>
      </c>
      <c r="N300" s="1986">
        <f>777.8+948.322-388.9-5.7+157.965-723.087</f>
        <v>766.39999999999964</v>
      </c>
      <c r="O300" s="1947"/>
      <c r="P300" s="1941"/>
      <c r="Q300" s="1987">
        <v>1726.1220000000001</v>
      </c>
      <c r="R300" s="1988">
        <v>1726.1220000000001</v>
      </c>
      <c r="S300" s="84"/>
      <c r="T300" s="84"/>
      <c r="U300" s="84"/>
      <c r="V300" s="1986">
        <f>777.8+948.322-388.9-5.7-565.122</f>
        <v>766.39999999999975</v>
      </c>
      <c r="W300" s="2150">
        <v>383.2</v>
      </c>
      <c r="X300" s="84"/>
      <c r="Z300" s="2141"/>
    </row>
    <row r="301" spans="1:26" s="83" customFormat="1" ht="39" hidden="1" x14ac:dyDescent="0.3">
      <c r="A301" s="85"/>
      <c r="B301" s="1098" t="s">
        <v>208</v>
      </c>
      <c r="C301" s="89"/>
      <c r="D301" s="33"/>
      <c r="E301" s="33"/>
      <c r="F301" s="33" t="s">
        <v>207</v>
      </c>
      <c r="G301" s="33"/>
      <c r="H301" s="33"/>
      <c r="I301" s="33"/>
      <c r="J301" s="1061">
        <f>J302</f>
        <v>0</v>
      </c>
      <c r="K301" s="1063"/>
      <c r="L301" s="1061"/>
      <c r="M301" s="1550"/>
      <c r="N301" s="1986">
        <f t="shared" ref="N301:R302" si="189">N302</f>
        <v>0</v>
      </c>
      <c r="O301" s="1947">
        <f t="shared" si="189"/>
        <v>0</v>
      </c>
      <c r="P301" s="1941">
        <f t="shared" si="189"/>
        <v>0</v>
      </c>
      <c r="Q301" s="1987">
        <f t="shared" si="189"/>
        <v>0</v>
      </c>
      <c r="R301" s="1988">
        <f t="shared" si="189"/>
        <v>0</v>
      </c>
      <c r="S301" s="84"/>
      <c r="T301" s="84"/>
      <c r="U301" s="84"/>
      <c r="V301" s="1986">
        <f t="shared" ref="V301:W302" si="190">V302</f>
        <v>0</v>
      </c>
      <c r="W301" s="1986">
        <f t="shared" si="190"/>
        <v>0</v>
      </c>
      <c r="X301" s="84"/>
      <c r="Z301" s="2141"/>
    </row>
    <row r="302" spans="1:26" s="83" customFormat="1" ht="26" hidden="1" x14ac:dyDescent="0.3">
      <c r="A302" s="85"/>
      <c r="B302" s="1993" t="s">
        <v>4</v>
      </c>
      <c r="C302" s="89"/>
      <c r="D302" s="33"/>
      <c r="E302" s="33"/>
      <c r="F302" s="33" t="s">
        <v>207</v>
      </c>
      <c r="G302" s="33" t="s">
        <v>1</v>
      </c>
      <c r="H302" s="33"/>
      <c r="I302" s="33"/>
      <c r="J302" s="1061">
        <f>J303</f>
        <v>0</v>
      </c>
      <c r="K302" s="1063"/>
      <c r="L302" s="1061"/>
      <c r="M302" s="1550"/>
      <c r="N302" s="1986">
        <f t="shared" si="189"/>
        <v>0</v>
      </c>
      <c r="O302" s="1947">
        <f t="shared" si="189"/>
        <v>0</v>
      </c>
      <c r="P302" s="1941">
        <f t="shared" si="189"/>
        <v>0</v>
      </c>
      <c r="Q302" s="1987">
        <f t="shared" si="189"/>
        <v>0</v>
      </c>
      <c r="R302" s="1988">
        <f t="shared" si="189"/>
        <v>0</v>
      </c>
      <c r="S302" s="84"/>
      <c r="T302" s="84"/>
      <c r="U302" s="84"/>
      <c r="V302" s="1986">
        <f t="shared" si="190"/>
        <v>0</v>
      </c>
      <c r="W302" s="1986">
        <f t="shared" si="190"/>
        <v>0</v>
      </c>
      <c r="X302" s="84"/>
      <c r="Z302" s="2141"/>
    </row>
    <row r="303" spans="1:26" s="83" customFormat="1" ht="13" hidden="1" x14ac:dyDescent="0.3">
      <c r="A303" s="85"/>
      <c r="B303" s="744" t="s">
        <v>60</v>
      </c>
      <c r="C303" s="89"/>
      <c r="D303" s="33"/>
      <c r="E303" s="33"/>
      <c r="F303" s="33" t="s">
        <v>207</v>
      </c>
      <c r="G303" s="33" t="s">
        <v>1</v>
      </c>
      <c r="H303" s="33" t="s">
        <v>452</v>
      </c>
      <c r="I303" s="33" t="s">
        <v>539</v>
      </c>
      <c r="J303" s="1061"/>
      <c r="K303" s="1063"/>
      <c r="L303" s="1061"/>
      <c r="M303" s="1550"/>
      <c r="N303" s="1986"/>
      <c r="O303" s="1947"/>
      <c r="P303" s="1941"/>
      <c r="Q303" s="1987"/>
      <c r="R303" s="1988"/>
      <c r="S303" s="84"/>
      <c r="T303" s="84"/>
      <c r="U303" s="84"/>
      <c r="V303" s="1986"/>
      <c r="W303" s="1986"/>
      <c r="X303" s="84"/>
      <c r="Z303" s="2141"/>
    </row>
    <row r="304" spans="1:26" s="83" customFormat="1" ht="13" x14ac:dyDescent="0.3">
      <c r="A304" s="85" t="s">
        <v>106</v>
      </c>
      <c r="B304" s="1098" t="s">
        <v>201</v>
      </c>
      <c r="C304" s="89"/>
      <c r="D304" s="33"/>
      <c r="E304" s="33"/>
      <c r="F304" s="33" t="s">
        <v>213</v>
      </c>
      <c r="G304" s="33"/>
      <c r="H304" s="33"/>
      <c r="I304" s="33"/>
      <c r="J304" s="1061">
        <f>J306</f>
        <v>0</v>
      </c>
      <c r="K304" s="1063"/>
      <c r="L304" s="1061"/>
      <c r="M304" s="1550"/>
      <c r="N304" s="1986">
        <f>N306</f>
        <v>1106.287</v>
      </c>
      <c r="O304" s="1947">
        <f>O306</f>
        <v>0</v>
      </c>
      <c r="P304" s="1941">
        <f>P306</f>
        <v>0</v>
      </c>
      <c r="Q304" s="1987">
        <f>Q306</f>
        <v>0</v>
      </c>
      <c r="R304" s="1988">
        <f>R306</f>
        <v>0</v>
      </c>
      <c r="S304" s="84"/>
      <c r="T304" s="84"/>
      <c r="U304" s="84"/>
      <c r="V304" s="1986">
        <f>V306</f>
        <v>948.32199999999989</v>
      </c>
      <c r="W304" s="2150">
        <f>W306</f>
        <v>383.2</v>
      </c>
      <c r="X304" s="84"/>
      <c r="Z304" s="2141"/>
    </row>
    <row r="305" spans="1:256" s="83" customFormat="1" ht="26" x14ac:dyDescent="0.3">
      <c r="A305" s="85"/>
      <c r="B305" s="49" t="s">
        <v>1048</v>
      </c>
      <c r="C305" s="89"/>
      <c r="D305" s="33"/>
      <c r="E305" s="33"/>
      <c r="F305" s="33" t="s">
        <v>213</v>
      </c>
      <c r="G305" s="33" t="s">
        <v>955</v>
      </c>
      <c r="H305" s="33"/>
      <c r="I305" s="33"/>
      <c r="J305" s="1061"/>
      <c r="K305" s="1063"/>
      <c r="L305" s="1061"/>
      <c r="M305" s="1550"/>
      <c r="N305" s="1986">
        <f>N306</f>
        <v>1106.287</v>
      </c>
      <c r="O305" s="1947"/>
      <c r="P305" s="1941"/>
      <c r="Q305" s="1987"/>
      <c r="R305" s="1988"/>
      <c r="S305" s="84"/>
      <c r="T305" s="84"/>
      <c r="U305" s="84"/>
      <c r="V305" s="1986">
        <f>V306</f>
        <v>948.32199999999989</v>
      </c>
      <c r="W305" s="2150">
        <f>W306</f>
        <v>383.2</v>
      </c>
      <c r="X305" s="84"/>
      <c r="Z305" s="2141"/>
    </row>
    <row r="306" spans="1:256" s="83" customFormat="1" ht="26" x14ac:dyDescent="0.3">
      <c r="A306" s="85"/>
      <c r="B306" s="1993" t="s">
        <v>4</v>
      </c>
      <c r="C306" s="89"/>
      <c r="D306" s="33"/>
      <c r="E306" s="33"/>
      <c r="F306" s="33" t="s">
        <v>213</v>
      </c>
      <c r="G306" s="33" t="s">
        <v>1</v>
      </c>
      <c r="H306" s="33"/>
      <c r="I306" s="33"/>
      <c r="J306" s="1061">
        <f>J307</f>
        <v>0</v>
      </c>
      <c r="K306" s="1063"/>
      <c r="L306" s="1061"/>
      <c r="M306" s="1550"/>
      <c r="N306" s="1986">
        <f t="shared" ref="N306:R306" si="191">N307</f>
        <v>1106.287</v>
      </c>
      <c r="O306" s="1947">
        <f t="shared" si="191"/>
        <v>0</v>
      </c>
      <c r="P306" s="1941">
        <f t="shared" si="191"/>
        <v>0</v>
      </c>
      <c r="Q306" s="1987">
        <f t="shared" si="191"/>
        <v>0</v>
      </c>
      <c r="R306" s="1988">
        <f t="shared" si="191"/>
        <v>0</v>
      </c>
      <c r="S306" s="84"/>
      <c r="T306" s="84"/>
      <c r="U306" s="84"/>
      <c r="V306" s="1986">
        <f t="shared" ref="V306:W306" si="192">V307</f>
        <v>948.32199999999989</v>
      </c>
      <c r="W306" s="2150">
        <f t="shared" si="192"/>
        <v>383.2</v>
      </c>
      <c r="X306" s="84"/>
      <c r="Z306" s="2141"/>
    </row>
    <row r="307" spans="1:256" s="83" customFormat="1" ht="13" x14ac:dyDescent="0.3">
      <c r="A307" s="85"/>
      <c r="B307" s="744" t="s">
        <v>60</v>
      </c>
      <c r="C307" s="89"/>
      <c r="D307" s="33"/>
      <c r="E307" s="33"/>
      <c r="F307" s="33" t="s">
        <v>213</v>
      </c>
      <c r="G307" s="33" t="s">
        <v>1</v>
      </c>
      <c r="H307" s="9" t="s">
        <v>452</v>
      </c>
      <c r="I307" s="9" t="s">
        <v>539</v>
      </c>
      <c r="J307" s="1061"/>
      <c r="K307" s="1063"/>
      <c r="L307" s="1061"/>
      <c r="M307" s="1550"/>
      <c r="N307" s="1986">
        <f>383.2+723.087</f>
        <v>1106.287</v>
      </c>
      <c r="O307" s="1947"/>
      <c r="P307" s="1941"/>
      <c r="Q307" s="1987"/>
      <c r="R307" s="1988"/>
      <c r="S307" s="84"/>
      <c r="T307" s="84"/>
      <c r="U307" s="84"/>
      <c r="V307" s="1986">
        <f>388.9-5.7+565.122</f>
        <v>948.32199999999989</v>
      </c>
      <c r="W307" s="2150">
        <v>383.2</v>
      </c>
      <c r="X307" s="84"/>
      <c r="Z307" s="2141"/>
    </row>
    <row r="308" spans="1:256" s="83" customFormat="1" ht="39" x14ac:dyDescent="0.3">
      <c r="A308" s="85"/>
      <c r="B308" s="157" t="s">
        <v>837</v>
      </c>
      <c r="C308" s="89"/>
      <c r="D308" s="33" t="s">
        <v>52</v>
      </c>
      <c r="E308" s="33" t="s">
        <v>58</v>
      </c>
      <c r="F308" s="33" t="s">
        <v>204</v>
      </c>
      <c r="G308" s="33"/>
      <c r="H308" s="33"/>
      <c r="I308" s="33"/>
      <c r="J308" s="1063">
        <f>J309</f>
        <v>800</v>
      </c>
      <c r="K308" s="1063"/>
      <c r="L308" s="1063">
        <f>L309</f>
        <v>667</v>
      </c>
      <c r="M308" s="1125">
        <f>M309</f>
        <v>733</v>
      </c>
      <c r="N308" s="1986">
        <f>N309</f>
        <v>365.678</v>
      </c>
      <c r="O308" s="1947">
        <f>O312+O316</f>
        <v>5740</v>
      </c>
      <c r="P308" s="1941">
        <f>P312+P316</f>
        <v>5980</v>
      </c>
      <c r="Q308" s="1987">
        <f>Q312+Q316</f>
        <v>2182.1999999999998</v>
      </c>
      <c r="R308" s="1988">
        <f>R312+R316</f>
        <v>1295.1990000000001</v>
      </c>
      <c r="S308" s="84"/>
      <c r="T308" s="84"/>
      <c r="U308" s="84"/>
      <c r="V308" s="1986">
        <f>V309</f>
        <v>531.37799999999993</v>
      </c>
      <c r="W308" s="1986">
        <f>W309</f>
        <v>1210</v>
      </c>
      <c r="X308" s="84"/>
      <c r="Z308" s="2141"/>
    </row>
    <row r="309" spans="1:256" s="83" customFormat="1" ht="26" x14ac:dyDescent="0.3">
      <c r="A309" s="85"/>
      <c r="B309" s="1093" t="s">
        <v>203</v>
      </c>
      <c r="C309" s="89"/>
      <c r="D309" s="33" t="s">
        <v>52</v>
      </c>
      <c r="E309" s="33" t="s">
        <v>58</v>
      </c>
      <c r="F309" s="33" t="s">
        <v>202</v>
      </c>
      <c r="G309" s="88"/>
      <c r="H309" s="88"/>
      <c r="I309" s="33"/>
      <c r="J309" s="1063">
        <f>J313</f>
        <v>800</v>
      </c>
      <c r="K309" s="1063"/>
      <c r="L309" s="1063">
        <f>L315</f>
        <v>667</v>
      </c>
      <c r="M309" s="1125">
        <f>M315</f>
        <v>733</v>
      </c>
      <c r="N309" s="1986">
        <f>N312+N316</f>
        <v>365.678</v>
      </c>
      <c r="O309" s="1947">
        <f>O313</f>
        <v>500</v>
      </c>
      <c r="P309" s="1941">
        <f>P313</f>
        <v>600</v>
      </c>
      <c r="Q309" s="1987">
        <f>Q313+Q312</f>
        <v>2182.1999999999998</v>
      </c>
      <c r="R309" s="1988">
        <f>R313+R312</f>
        <v>1295.1990000000001</v>
      </c>
      <c r="S309" s="84"/>
      <c r="T309" s="84"/>
      <c r="U309" s="84"/>
      <c r="V309" s="1986">
        <f>V312+V316</f>
        <v>531.37799999999993</v>
      </c>
      <c r="W309" s="1986">
        <f>W312+W316</f>
        <v>1210</v>
      </c>
      <c r="X309" s="84"/>
      <c r="Z309" s="2141"/>
    </row>
    <row r="310" spans="1:256" s="83" customFormat="1" ht="13" hidden="1" x14ac:dyDescent="0.3">
      <c r="A310" s="85"/>
      <c r="B310" s="1098" t="s">
        <v>201</v>
      </c>
      <c r="C310" s="89"/>
      <c r="D310" s="33"/>
      <c r="E310" s="33"/>
      <c r="F310" s="33" t="s">
        <v>200</v>
      </c>
      <c r="G310" s="88"/>
      <c r="H310" s="88"/>
      <c r="I310" s="33"/>
      <c r="J310" s="1063"/>
      <c r="K310" s="1063"/>
      <c r="L310" s="1063"/>
      <c r="M310" s="1125"/>
      <c r="N310" s="1986">
        <f t="shared" ref="N310:R311" si="193">N311</f>
        <v>0</v>
      </c>
      <c r="O310" s="1947">
        <f t="shared" si="193"/>
        <v>5240</v>
      </c>
      <c r="P310" s="1941">
        <f t="shared" si="193"/>
        <v>5380</v>
      </c>
      <c r="Q310" s="1987">
        <f t="shared" si="193"/>
        <v>1722.2</v>
      </c>
      <c r="R310" s="1988">
        <f t="shared" si="193"/>
        <v>775.19899999999996</v>
      </c>
      <c r="S310" s="84"/>
      <c r="T310" s="84"/>
      <c r="U310" s="84"/>
      <c r="V310" s="1986">
        <f t="shared" ref="V310:W311" si="194">V311</f>
        <v>0</v>
      </c>
      <c r="W310" s="1986">
        <f t="shared" si="194"/>
        <v>0</v>
      </c>
      <c r="X310" s="84"/>
      <c r="Z310" s="2141"/>
    </row>
    <row r="311" spans="1:256" s="83" customFormat="1" ht="26" hidden="1" x14ac:dyDescent="0.3">
      <c r="A311" s="85"/>
      <c r="B311" s="1993" t="s">
        <v>4</v>
      </c>
      <c r="C311" s="89"/>
      <c r="D311" s="33"/>
      <c r="E311" s="33"/>
      <c r="F311" s="33" t="s">
        <v>200</v>
      </c>
      <c r="G311" s="88">
        <v>240</v>
      </c>
      <c r="H311" s="88"/>
      <c r="I311" s="33"/>
      <c r="J311" s="1063"/>
      <c r="K311" s="1063"/>
      <c r="L311" s="1063"/>
      <c r="M311" s="1125"/>
      <c r="N311" s="1986">
        <f t="shared" si="193"/>
        <v>0</v>
      </c>
      <c r="O311" s="1947">
        <f t="shared" si="193"/>
        <v>5240</v>
      </c>
      <c r="P311" s="1941">
        <f t="shared" si="193"/>
        <v>5380</v>
      </c>
      <c r="Q311" s="1987">
        <f t="shared" si="193"/>
        <v>1722.2</v>
      </c>
      <c r="R311" s="1988">
        <f t="shared" si="193"/>
        <v>775.19899999999996</v>
      </c>
      <c r="S311" s="84"/>
      <c r="T311" s="84"/>
      <c r="U311" s="84"/>
      <c r="V311" s="1986">
        <f t="shared" si="194"/>
        <v>0</v>
      </c>
      <c r="W311" s="1986">
        <f t="shared" si="194"/>
        <v>0</v>
      </c>
      <c r="X311" s="84"/>
      <c r="Z311" s="2141"/>
    </row>
    <row r="312" spans="1:256" s="83" customFormat="1" ht="13" hidden="1" x14ac:dyDescent="0.3">
      <c r="A312" s="85"/>
      <c r="B312" s="744" t="s">
        <v>60</v>
      </c>
      <c r="C312" s="89"/>
      <c r="D312" s="33"/>
      <c r="E312" s="33"/>
      <c r="F312" s="33" t="s">
        <v>200</v>
      </c>
      <c r="G312" s="88">
        <v>240</v>
      </c>
      <c r="H312" s="9" t="s">
        <v>452</v>
      </c>
      <c r="I312" s="9" t="s">
        <v>539</v>
      </c>
      <c r="J312" s="1063"/>
      <c r="K312" s="1063"/>
      <c r="L312" s="1063"/>
      <c r="M312" s="1125"/>
      <c r="N312" s="1986"/>
      <c r="O312" s="1947">
        <v>5240</v>
      </c>
      <c r="P312" s="1941">
        <v>5380</v>
      </c>
      <c r="Q312" s="1987">
        <v>1722.2</v>
      </c>
      <c r="R312" s="1988">
        <v>775.19899999999996</v>
      </c>
      <c r="S312" s="84"/>
      <c r="T312" s="84"/>
      <c r="U312" s="84"/>
      <c r="V312" s="1986"/>
      <c r="W312" s="1986"/>
      <c r="X312" s="84"/>
      <c r="Z312" s="2141"/>
    </row>
    <row r="313" spans="1:256" s="83" customFormat="1" ht="26" x14ac:dyDescent="0.3">
      <c r="A313" s="85"/>
      <c r="B313" s="1098" t="s">
        <v>199</v>
      </c>
      <c r="C313" s="89"/>
      <c r="D313" s="33"/>
      <c r="E313" s="33"/>
      <c r="F313" s="33" t="s">
        <v>198</v>
      </c>
      <c r="G313" s="88"/>
      <c r="H313" s="88"/>
      <c r="I313" s="33"/>
      <c r="J313" s="1063">
        <f>J315</f>
        <v>800</v>
      </c>
      <c r="K313" s="1063"/>
      <c r="L313" s="1063"/>
      <c r="M313" s="1125"/>
      <c r="N313" s="1986">
        <f>N315</f>
        <v>365.678</v>
      </c>
      <c r="O313" s="1947">
        <f>O315</f>
        <v>500</v>
      </c>
      <c r="P313" s="1941">
        <f>P315</f>
        <v>600</v>
      </c>
      <c r="Q313" s="1987">
        <f>Q315</f>
        <v>460</v>
      </c>
      <c r="R313" s="1988">
        <f>R315</f>
        <v>520</v>
      </c>
      <c r="S313" s="84"/>
      <c r="T313" s="84"/>
      <c r="U313" s="84"/>
      <c r="V313" s="1986">
        <f>V315</f>
        <v>531.37799999999993</v>
      </c>
      <c r="W313" s="1986">
        <f>W315</f>
        <v>1210</v>
      </c>
      <c r="X313" s="84"/>
      <c r="Z313" s="2141"/>
    </row>
    <row r="314" spans="1:256" s="83" customFormat="1" ht="26" x14ac:dyDescent="0.3">
      <c r="A314" s="85"/>
      <c r="B314" s="49" t="s">
        <v>1048</v>
      </c>
      <c r="C314" s="89"/>
      <c r="D314" s="33"/>
      <c r="E314" s="33"/>
      <c r="F314" s="33" t="s">
        <v>198</v>
      </c>
      <c r="G314" s="88">
        <v>200</v>
      </c>
      <c r="H314" s="88"/>
      <c r="I314" s="33"/>
      <c r="J314" s="1063"/>
      <c r="K314" s="1063"/>
      <c r="L314" s="1063"/>
      <c r="M314" s="1125"/>
      <c r="N314" s="1986">
        <f>N315</f>
        <v>365.678</v>
      </c>
      <c r="O314" s="1947"/>
      <c r="P314" s="1941"/>
      <c r="Q314" s="1987"/>
      <c r="R314" s="1988"/>
      <c r="S314" s="84"/>
      <c r="T314" s="84"/>
      <c r="U314" s="84"/>
      <c r="V314" s="1986">
        <f>V315</f>
        <v>531.37799999999993</v>
      </c>
      <c r="W314" s="1986">
        <f>W315</f>
        <v>1210</v>
      </c>
      <c r="X314" s="84"/>
      <c r="Z314" s="2141"/>
    </row>
    <row r="315" spans="1:256" s="83" customFormat="1" ht="25.15" customHeight="1" x14ac:dyDescent="0.3">
      <c r="A315" s="85"/>
      <c r="B315" s="1993" t="s">
        <v>4</v>
      </c>
      <c r="C315" s="89"/>
      <c r="D315" s="33" t="s">
        <v>52</v>
      </c>
      <c r="E315" s="33" t="s">
        <v>58</v>
      </c>
      <c r="F315" s="33" t="s">
        <v>198</v>
      </c>
      <c r="G315" s="88">
        <v>240</v>
      </c>
      <c r="H315" s="88"/>
      <c r="I315" s="33"/>
      <c r="J315" s="1063">
        <f>J316</f>
        <v>800</v>
      </c>
      <c r="K315" s="1063"/>
      <c r="L315" s="1063">
        <v>667</v>
      </c>
      <c r="M315" s="1125">
        <v>733</v>
      </c>
      <c r="N315" s="1986">
        <f t="shared" ref="N315:R315" si="195">N316</f>
        <v>365.678</v>
      </c>
      <c r="O315" s="1947">
        <f t="shared" si="195"/>
        <v>500</v>
      </c>
      <c r="P315" s="1941">
        <f t="shared" si="195"/>
        <v>600</v>
      </c>
      <c r="Q315" s="1987">
        <f t="shared" si="195"/>
        <v>460</v>
      </c>
      <c r="R315" s="1988">
        <f t="shared" si="195"/>
        <v>520</v>
      </c>
      <c r="S315" s="84"/>
      <c r="T315" s="84"/>
      <c r="U315" s="84"/>
      <c r="V315" s="1986">
        <f t="shared" ref="V315:W315" si="196">V316</f>
        <v>531.37799999999993</v>
      </c>
      <c r="W315" s="1986">
        <f t="shared" si="196"/>
        <v>1210</v>
      </c>
      <c r="X315" s="84"/>
      <c r="Z315" s="2141"/>
    </row>
    <row r="316" spans="1:256" s="83" customFormat="1" ht="13" x14ac:dyDescent="0.3">
      <c r="A316" s="85"/>
      <c r="B316" s="744" t="s">
        <v>60</v>
      </c>
      <c r="C316" s="89"/>
      <c r="D316" s="33"/>
      <c r="E316" s="33"/>
      <c r="F316" s="33" t="s">
        <v>198</v>
      </c>
      <c r="G316" s="88">
        <v>240</v>
      </c>
      <c r="H316" s="9" t="s">
        <v>452</v>
      </c>
      <c r="I316" s="9" t="s">
        <v>539</v>
      </c>
      <c r="J316" s="1063">
        <v>800</v>
      </c>
      <c r="K316" s="1063"/>
      <c r="L316" s="1063">
        <v>667</v>
      </c>
      <c r="M316" s="1125">
        <v>733</v>
      </c>
      <c r="N316" s="1986">
        <f>359.978+5.7</f>
        <v>365.678</v>
      </c>
      <c r="O316" s="1947">
        <v>500</v>
      </c>
      <c r="P316" s="1941">
        <v>600</v>
      </c>
      <c r="Q316" s="1987">
        <v>460</v>
      </c>
      <c r="R316" s="1988">
        <v>520</v>
      </c>
      <c r="S316" s="84"/>
      <c r="T316" s="84"/>
      <c r="U316" s="84"/>
      <c r="V316" s="1986">
        <f>519.978+11.4</f>
        <v>531.37799999999993</v>
      </c>
      <c r="W316" s="1986">
        <f>410+800</f>
        <v>1210</v>
      </c>
      <c r="X316" s="84"/>
      <c r="Z316" s="2141"/>
    </row>
    <row r="317" spans="1:256" ht="39" x14ac:dyDescent="0.25">
      <c r="A317" s="156">
        <v>6</v>
      </c>
      <c r="B317" s="155" t="s">
        <v>884</v>
      </c>
      <c r="C317" s="152"/>
      <c r="D317" s="154" t="s">
        <v>15</v>
      </c>
      <c r="E317" s="152" t="s">
        <v>13</v>
      </c>
      <c r="F317" s="152" t="s">
        <v>196</v>
      </c>
      <c r="G317" s="153"/>
      <c r="H317" s="153"/>
      <c r="I317" s="152"/>
      <c r="J317" s="150">
        <f>J318</f>
        <v>3497.6120000000001</v>
      </c>
      <c r="K317" s="151"/>
      <c r="L317" s="150">
        <f>L319</f>
        <v>4000</v>
      </c>
      <c r="M317" s="1559">
        <f>M319</f>
        <v>0</v>
      </c>
      <c r="N317" s="2013">
        <f>N323+N331+N327</f>
        <v>2266.6669999999999</v>
      </c>
      <c r="O317" s="2014">
        <f t="shared" ref="O317:R318" si="197">O318</f>
        <v>48</v>
      </c>
      <c r="P317" s="2014">
        <f t="shared" si="197"/>
        <v>816.12</v>
      </c>
      <c r="Q317" s="2015">
        <f t="shared" si="197"/>
        <v>4981.808</v>
      </c>
      <c r="R317" s="2016">
        <f>R318+R331</f>
        <v>5143</v>
      </c>
      <c r="V317" s="2013">
        <f>V323+V331</f>
        <v>2100</v>
      </c>
      <c r="W317" s="2013">
        <f>W323+W331</f>
        <v>2000</v>
      </c>
    </row>
    <row r="318" spans="1:256" s="2" customFormat="1" ht="31.15" customHeight="1" x14ac:dyDescent="0.25">
      <c r="A318" s="1099"/>
      <c r="B318" s="1092" t="s">
        <v>195</v>
      </c>
      <c r="C318" s="1092"/>
      <c r="D318" s="1092"/>
      <c r="E318" s="1092"/>
      <c r="F318" s="9" t="s">
        <v>194</v>
      </c>
      <c r="G318" s="1092"/>
      <c r="H318" s="1092"/>
      <c r="I318" s="1092"/>
      <c r="J318" s="1100">
        <f>J319</f>
        <v>3497.6120000000001</v>
      </c>
      <c r="K318" s="1092"/>
      <c r="L318" s="1092"/>
      <c r="M318" s="1560"/>
      <c r="N318" s="1998">
        <f>N319+N331</f>
        <v>2266.6669999999999</v>
      </c>
      <c r="O318" s="2017">
        <f t="shared" si="197"/>
        <v>48</v>
      </c>
      <c r="P318" s="2018">
        <f t="shared" si="197"/>
        <v>816.12</v>
      </c>
      <c r="Q318" s="2019">
        <f t="shared" si="197"/>
        <v>4981.808</v>
      </c>
      <c r="R318" s="2020">
        <f t="shared" si="197"/>
        <v>3543</v>
      </c>
      <c r="S318" s="1102"/>
      <c r="T318" s="1102"/>
      <c r="U318" s="1102"/>
      <c r="V318" s="1998">
        <f>V319</f>
        <v>400</v>
      </c>
      <c r="W318" s="1998">
        <f>W319</f>
        <v>400</v>
      </c>
      <c r="X318" s="1102"/>
      <c r="Y318" s="1102"/>
      <c r="Z318" s="2143"/>
      <c r="AA318" s="1102"/>
      <c r="AB318" s="1102"/>
      <c r="AC318" s="1102"/>
      <c r="AD318" s="1102"/>
      <c r="AE318" s="1102"/>
      <c r="AF318" s="1102"/>
      <c r="AG318" s="1102"/>
      <c r="AH318" s="1102"/>
      <c r="AI318" s="1102"/>
      <c r="AJ318" s="1102"/>
      <c r="AK318" s="1102"/>
      <c r="AL318" s="1102"/>
      <c r="AM318" s="1102"/>
      <c r="AN318" s="1102"/>
      <c r="AO318" s="1102"/>
      <c r="AP318" s="1102"/>
      <c r="AQ318" s="1102"/>
      <c r="AR318" s="1102"/>
      <c r="AS318" s="1102"/>
      <c r="AT318" s="1102"/>
      <c r="AU318" s="1102"/>
      <c r="AV318" s="1102"/>
      <c r="AW318" s="1102"/>
      <c r="AX318" s="1102"/>
      <c r="AY318" s="1102"/>
      <c r="AZ318" s="1102"/>
      <c r="BA318" s="1102"/>
      <c r="BB318" s="1102"/>
      <c r="BC318" s="1102"/>
      <c r="BD318" s="1102"/>
      <c r="BE318" s="1102"/>
      <c r="BF318" s="1102"/>
      <c r="BG318" s="1102"/>
      <c r="BH318" s="1102"/>
      <c r="BI318" s="1102"/>
      <c r="BJ318" s="1102"/>
      <c r="BK318" s="1102"/>
      <c r="BL318" s="1102"/>
      <c r="BM318" s="1102"/>
      <c r="BN318" s="1102"/>
      <c r="BO318" s="1102"/>
      <c r="BP318" s="1102"/>
      <c r="BQ318" s="1102"/>
      <c r="BR318" s="1102"/>
      <c r="BS318" s="1102"/>
      <c r="BT318" s="1102"/>
      <c r="BU318" s="1102"/>
      <c r="BV318" s="1102"/>
      <c r="BW318" s="1102"/>
      <c r="BX318" s="1102"/>
      <c r="BY318" s="1102"/>
      <c r="BZ318" s="1102"/>
      <c r="CA318" s="1102"/>
      <c r="CB318" s="1102"/>
      <c r="CC318" s="1102"/>
      <c r="CD318" s="1102"/>
      <c r="CE318" s="1102"/>
      <c r="CF318" s="1102"/>
      <c r="CG318" s="1102"/>
      <c r="CH318" s="1102"/>
      <c r="CI318" s="1102"/>
      <c r="CJ318" s="1102"/>
      <c r="CK318" s="1102"/>
      <c r="CL318" s="1102"/>
      <c r="CM318" s="1102"/>
      <c r="CN318" s="1102"/>
      <c r="CO318" s="1102"/>
      <c r="CP318" s="1102"/>
      <c r="CQ318" s="1102"/>
      <c r="CR318" s="1102"/>
      <c r="CS318" s="1102"/>
      <c r="CT318" s="1102"/>
      <c r="CU318" s="1102"/>
      <c r="CV318" s="1102"/>
      <c r="CW318" s="1102"/>
      <c r="CX318" s="1102"/>
      <c r="CY318" s="1102"/>
      <c r="CZ318" s="1102"/>
      <c r="DA318" s="1102"/>
      <c r="DB318" s="1102"/>
      <c r="DC318" s="1102"/>
      <c r="DD318" s="1102"/>
      <c r="DE318" s="1102"/>
      <c r="DF318" s="1102"/>
      <c r="DG318" s="1102"/>
      <c r="DH318" s="1102"/>
      <c r="DI318" s="1102"/>
      <c r="DJ318" s="1102"/>
      <c r="DK318" s="1102"/>
      <c r="DL318" s="1102"/>
      <c r="DM318" s="1102"/>
      <c r="DN318" s="1102"/>
      <c r="DO318" s="1102"/>
      <c r="DP318" s="1102"/>
      <c r="DQ318" s="1102"/>
      <c r="DR318" s="1102"/>
      <c r="DS318" s="1102"/>
      <c r="DT318" s="1102"/>
      <c r="DU318" s="1102"/>
      <c r="DV318" s="1102"/>
      <c r="DW318" s="1102"/>
      <c r="DX318" s="1102"/>
      <c r="DY318" s="1102"/>
      <c r="DZ318" s="1102"/>
      <c r="EA318" s="1102"/>
      <c r="EB318" s="1102"/>
      <c r="EC318" s="1102"/>
      <c r="ED318" s="1102"/>
      <c r="EE318" s="1102"/>
      <c r="EF318" s="1102"/>
      <c r="EG318" s="1102"/>
      <c r="EH318" s="1102"/>
      <c r="EI318" s="1102"/>
      <c r="EJ318" s="1102"/>
      <c r="EK318" s="1102"/>
      <c r="EL318" s="1102"/>
      <c r="EM318" s="1102"/>
      <c r="EN318" s="1102"/>
      <c r="EO318" s="1102"/>
      <c r="EP318" s="1102"/>
      <c r="EQ318" s="1102"/>
      <c r="ER318" s="1102"/>
      <c r="ES318" s="1102"/>
      <c r="ET318" s="1102"/>
      <c r="EU318" s="1102"/>
      <c r="EV318" s="1102"/>
      <c r="EW318" s="1102"/>
      <c r="EX318" s="1102"/>
      <c r="EY318" s="1102"/>
      <c r="EZ318" s="1102"/>
      <c r="FA318" s="1102"/>
      <c r="FB318" s="1102"/>
      <c r="FC318" s="1102"/>
      <c r="FD318" s="1102"/>
      <c r="FE318" s="1102"/>
      <c r="FF318" s="1102"/>
      <c r="FG318" s="1102"/>
      <c r="FH318" s="1102"/>
      <c r="FI318" s="1102"/>
      <c r="FJ318" s="1102"/>
      <c r="FK318" s="1102"/>
      <c r="FL318" s="1102"/>
      <c r="FM318" s="1102"/>
      <c r="FN318" s="1102"/>
      <c r="FO318" s="1102"/>
      <c r="FP318" s="1102"/>
      <c r="FQ318" s="1102"/>
      <c r="FR318" s="1102"/>
      <c r="FS318" s="1102"/>
      <c r="FT318" s="1102"/>
      <c r="FU318" s="1102"/>
      <c r="FV318" s="1102"/>
      <c r="FW318" s="1102"/>
      <c r="FX318" s="1102"/>
      <c r="FY318" s="1102"/>
      <c r="FZ318" s="1102"/>
      <c r="GA318" s="1102"/>
      <c r="GB318" s="1102"/>
      <c r="GC318" s="1102"/>
      <c r="GD318" s="1102"/>
      <c r="GE318" s="1102"/>
      <c r="GF318" s="1102"/>
      <c r="GG318" s="1102"/>
      <c r="GH318" s="1102"/>
      <c r="GI318" s="1102"/>
      <c r="GJ318" s="1102"/>
      <c r="GK318" s="1102"/>
      <c r="GL318" s="1102"/>
      <c r="GM318" s="1102"/>
      <c r="GN318" s="1102"/>
      <c r="GO318" s="1102"/>
      <c r="GP318" s="1102"/>
      <c r="GQ318" s="1102"/>
      <c r="GR318" s="1102"/>
      <c r="GS318" s="1102"/>
      <c r="GT318" s="1102"/>
      <c r="GU318" s="1102"/>
      <c r="GV318" s="1102"/>
      <c r="GW318" s="1102"/>
      <c r="GX318" s="1102"/>
      <c r="GY318" s="1102"/>
      <c r="GZ318" s="1102"/>
      <c r="HA318" s="1102"/>
      <c r="HB318" s="1102"/>
      <c r="HC318" s="1102"/>
      <c r="HD318" s="1102"/>
      <c r="HE318" s="1102"/>
      <c r="HF318" s="1102"/>
      <c r="HG318" s="1102"/>
      <c r="HH318" s="1102"/>
      <c r="HI318" s="1102"/>
      <c r="HJ318" s="1102"/>
      <c r="HK318" s="1102"/>
      <c r="HL318" s="1102"/>
      <c r="HM318" s="1102"/>
      <c r="HN318" s="1102"/>
      <c r="HO318" s="1102"/>
      <c r="HP318" s="1102"/>
      <c r="HQ318" s="1102"/>
      <c r="HR318" s="1102"/>
      <c r="HS318" s="1102"/>
      <c r="HT318" s="1102"/>
      <c r="HU318" s="1102"/>
      <c r="HV318" s="1102"/>
      <c r="HW318" s="1102"/>
      <c r="HX318" s="1102"/>
      <c r="HY318" s="1102"/>
      <c r="HZ318" s="1102"/>
      <c r="IA318" s="1102"/>
      <c r="IB318" s="1102"/>
      <c r="IC318" s="1102"/>
      <c r="ID318" s="1102"/>
      <c r="IE318" s="1102"/>
      <c r="IF318" s="1102"/>
      <c r="IG318" s="1102"/>
      <c r="IH318" s="1102"/>
      <c r="II318" s="1102"/>
      <c r="IJ318" s="1102"/>
      <c r="IK318" s="1102"/>
      <c r="IL318" s="1102"/>
      <c r="IM318" s="1102"/>
      <c r="IN318" s="1102"/>
      <c r="IO318" s="1102"/>
      <c r="IP318" s="1102"/>
      <c r="IQ318" s="1102"/>
      <c r="IR318" s="1102"/>
      <c r="IS318" s="1102"/>
      <c r="IT318" s="1102"/>
      <c r="IU318" s="1102"/>
      <c r="IV318" s="1102"/>
    </row>
    <row r="319" spans="1:256" ht="26" x14ac:dyDescent="0.25">
      <c r="A319" s="145"/>
      <c r="B319" s="144" t="s">
        <v>193</v>
      </c>
      <c r="C319" s="142"/>
      <c r="D319" s="143" t="s">
        <v>15</v>
      </c>
      <c r="E319" s="142" t="s">
        <v>13</v>
      </c>
      <c r="F319" s="142" t="s">
        <v>191</v>
      </c>
      <c r="G319" s="142"/>
      <c r="H319" s="142"/>
      <c r="I319" s="142"/>
      <c r="J319" s="1103">
        <f>J321</f>
        <v>3497.6120000000001</v>
      </c>
      <c r="K319" s="1104"/>
      <c r="L319" s="1104">
        <f t="shared" ref="L319:R319" si="198">L321</f>
        <v>4000</v>
      </c>
      <c r="M319" s="1561">
        <f t="shared" si="198"/>
        <v>0</v>
      </c>
      <c r="N319" s="2021">
        <f>N321+N327</f>
        <v>1600</v>
      </c>
      <c r="O319" s="2022">
        <f t="shared" si="198"/>
        <v>48</v>
      </c>
      <c r="P319" s="2023">
        <f t="shared" si="198"/>
        <v>816.12</v>
      </c>
      <c r="Q319" s="2024">
        <f t="shared" si="198"/>
        <v>4981.808</v>
      </c>
      <c r="R319" s="2025">
        <f t="shared" si="198"/>
        <v>3543</v>
      </c>
      <c r="V319" s="2021">
        <f t="shared" ref="V319:W319" si="199">V321</f>
        <v>400</v>
      </c>
      <c r="W319" s="2021">
        <f t="shared" si="199"/>
        <v>400</v>
      </c>
    </row>
    <row r="320" spans="1:256" ht="26" x14ac:dyDescent="0.25">
      <c r="A320" s="145"/>
      <c r="B320" s="49" t="s">
        <v>1048</v>
      </c>
      <c r="C320" s="142"/>
      <c r="D320" s="143"/>
      <c r="E320" s="142"/>
      <c r="F320" s="142" t="s">
        <v>191</v>
      </c>
      <c r="G320" s="142" t="s">
        <v>955</v>
      </c>
      <c r="H320" s="142"/>
      <c r="I320" s="142"/>
      <c r="J320" s="1103"/>
      <c r="K320" s="1104"/>
      <c r="L320" s="1104"/>
      <c r="M320" s="1561"/>
      <c r="N320" s="2021">
        <f>N321</f>
        <v>400</v>
      </c>
      <c r="O320" s="2022"/>
      <c r="P320" s="2023"/>
      <c r="Q320" s="2024"/>
      <c r="R320" s="2025"/>
      <c r="V320" s="2021">
        <f>V321</f>
        <v>400</v>
      </c>
      <c r="W320" s="2021">
        <f>W321</f>
        <v>400</v>
      </c>
    </row>
    <row r="321" spans="1:23" ht="26" x14ac:dyDescent="0.25">
      <c r="A321" s="32"/>
      <c r="B321" s="1993" t="s">
        <v>4</v>
      </c>
      <c r="C321" s="9"/>
      <c r="D321" s="88" t="s">
        <v>15</v>
      </c>
      <c r="E321" s="9" t="s">
        <v>13</v>
      </c>
      <c r="F321" s="9" t="s">
        <v>191</v>
      </c>
      <c r="G321" s="9" t="s">
        <v>1</v>
      </c>
      <c r="H321" s="9"/>
      <c r="I321" s="9"/>
      <c r="J321" s="1061">
        <f>J323</f>
        <v>3497.6120000000001</v>
      </c>
      <c r="K321" s="1075"/>
      <c r="L321" s="1066">
        <v>4000</v>
      </c>
      <c r="M321" s="1552"/>
      <c r="N321" s="1986">
        <f>N323</f>
        <v>400</v>
      </c>
      <c r="O321" s="1947">
        <f>O323</f>
        <v>48</v>
      </c>
      <c r="P321" s="1941">
        <f>P323</f>
        <v>816.12</v>
      </c>
      <c r="Q321" s="1987">
        <f>Q323</f>
        <v>4981.808</v>
      </c>
      <c r="R321" s="1988">
        <f>R323</f>
        <v>3543</v>
      </c>
      <c r="V321" s="1986">
        <f>V323</f>
        <v>400</v>
      </c>
      <c r="W321" s="1986">
        <f>W323</f>
        <v>400</v>
      </c>
    </row>
    <row r="322" spans="1:23" ht="52" hidden="1" x14ac:dyDescent="0.25">
      <c r="A322" s="32"/>
      <c r="B322" s="58" t="s">
        <v>192</v>
      </c>
      <c r="C322" s="9"/>
      <c r="D322" s="88" t="s">
        <v>15</v>
      </c>
      <c r="E322" s="9" t="s">
        <v>13</v>
      </c>
      <c r="F322" s="9" t="s">
        <v>191</v>
      </c>
      <c r="G322" s="9"/>
      <c r="H322" s="9"/>
      <c r="I322" s="9" t="s">
        <v>13</v>
      </c>
      <c r="J322" s="1065"/>
      <c r="K322" s="1065"/>
      <c r="L322" s="1065"/>
      <c r="M322" s="1552"/>
      <c r="N322" s="1982"/>
      <c r="O322" s="1994"/>
      <c r="P322" s="1939"/>
      <c r="Q322" s="1995"/>
      <c r="R322" s="1985"/>
      <c r="V322" s="1982"/>
      <c r="W322" s="1982"/>
    </row>
    <row r="323" spans="1:23" ht="13" x14ac:dyDescent="0.25">
      <c r="A323" s="32"/>
      <c r="B323" s="58" t="s">
        <v>39</v>
      </c>
      <c r="C323" s="9"/>
      <c r="D323" s="88"/>
      <c r="E323" s="9"/>
      <c r="F323" s="9" t="s">
        <v>191</v>
      </c>
      <c r="G323" s="9" t="s">
        <v>1</v>
      </c>
      <c r="H323" s="9" t="s">
        <v>463</v>
      </c>
      <c r="I323" s="9" t="s">
        <v>488</v>
      </c>
      <c r="J323" s="1061">
        <v>3497.6120000000001</v>
      </c>
      <c r="K323" s="1065"/>
      <c r="L323" s="1065"/>
      <c r="M323" s="1552"/>
      <c r="N323" s="1986">
        <v>400</v>
      </c>
      <c r="O323" s="1947">
        <v>48</v>
      </c>
      <c r="P323" s="1941">
        <v>816.12</v>
      </c>
      <c r="Q323" s="1987">
        <v>4981.808</v>
      </c>
      <c r="R323" s="1988">
        <f>3700-157</f>
        <v>3543</v>
      </c>
      <c r="V323" s="1986">
        <v>400</v>
      </c>
      <c r="W323" s="1986">
        <v>400</v>
      </c>
    </row>
    <row r="324" spans="1:23" ht="13" hidden="1" x14ac:dyDescent="0.25">
      <c r="A324" s="32"/>
      <c r="B324" s="144"/>
      <c r="C324" s="9"/>
      <c r="D324" s="88"/>
      <c r="E324" s="9"/>
      <c r="F324" s="9" t="s">
        <v>191</v>
      </c>
      <c r="G324" s="9"/>
      <c r="H324" s="9"/>
      <c r="I324" s="9"/>
      <c r="J324" s="1061"/>
      <c r="K324" s="1065"/>
      <c r="L324" s="1065"/>
      <c r="M324" s="1552"/>
      <c r="N324" s="1986"/>
      <c r="O324" s="1947"/>
      <c r="P324" s="1941"/>
      <c r="Q324" s="1987"/>
      <c r="R324" s="1988"/>
      <c r="V324" s="1986"/>
      <c r="W324" s="1986"/>
    </row>
    <row r="325" spans="1:23" ht="26" x14ac:dyDescent="0.25">
      <c r="A325" s="32"/>
      <c r="B325" s="144" t="s">
        <v>1061</v>
      </c>
      <c r="C325" s="9"/>
      <c r="D325" s="88"/>
      <c r="E325" s="9"/>
      <c r="F325" s="9" t="s">
        <v>191</v>
      </c>
      <c r="G325" s="9" t="s">
        <v>1060</v>
      </c>
      <c r="H325" s="9"/>
      <c r="I325" s="9"/>
      <c r="J325" s="1061"/>
      <c r="K325" s="1065"/>
      <c r="L325" s="1065"/>
      <c r="M325" s="1552"/>
      <c r="N325" s="1986">
        <f>N326</f>
        <v>1200</v>
      </c>
      <c r="O325" s="1947"/>
      <c r="P325" s="1941"/>
      <c r="Q325" s="1987"/>
      <c r="R325" s="1988"/>
      <c r="V325" s="1986"/>
      <c r="W325" s="1986"/>
    </row>
    <row r="326" spans="1:23" ht="13" x14ac:dyDescent="0.25">
      <c r="A326" s="32"/>
      <c r="B326" s="58" t="s">
        <v>28</v>
      </c>
      <c r="C326" s="9"/>
      <c r="D326" s="88"/>
      <c r="E326" s="9"/>
      <c r="F326" s="9" t="s">
        <v>191</v>
      </c>
      <c r="G326" s="9" t="s">
        <v>26</v>
      </c>
      <c r="H326" s="9"/>
      <c r="I326" s="9"/>
      <c r="J326" s="1061"/>
      <c r="K326" s="1065"/>
      <c r="L326" s="1065"/>
      <c r="M326" s="1552"/>
      <c r="N326" s="1986">
        <f>N327</f>
        <v>1200</v>
      </c>
      <c r="O326" s="1947"/>
      <c r="P326" s="1941"/>
      <c r="Q326" s="1987"/>
      <c r="R326" s="1988"/>
      <c r="V326" s="1986"/>
      <c r="W326" s="1986"/>
    </row>
    <row r="327" spans="1:23" ht="13" x14ac:dyDescent="0.25">
      <c r="A327" s="32"/>
      <c r="B327" s="58" t="s">
        <v>39</v>
      </c>
      <c r="C327" s="9"/>
      <c r="D327" s="88"/>
      <c r="E327" s="9"/>
      <c r="F327" s="9" t="s">
        <v>191</v>
      </c>
      <c r="G327" s="9" t="s">
        <v>26</v>
      </c>
      <c r="H327" s="9" t="s">
        <v>463</v>
      </c>
      <c r="I327" s="9" t="s">
        <v>488</v>
      </c>
      <c r="J327" s="1061"/>
      <c r="K327" s="1065"/>
      <c r="L327" s="1065"/>
      <c r="M327" s="1552"/>
      <c r="N327" s="1986">
        <v>1200</v>
      </c>
      <c r="O327" s="1947"/>
      <c r="P327" s="1941"/>
      <c r="Q327" s="1987"/>
      <c r="R327" s="1988"/>
      <c r="V327" s="1986"/>
      <c r="W327" s="1986"/>
    </row>
    <row r="328" spans="1:23" ht="26" x14ac:dyDescent="0.25">
      <c r="A328" s="32"/>
      <c r="B328" s="144" t="s">
        <v>193</v>
      </c>
      <c r="C328" s="9"/>
      <c r="D328" s="88"/>
      <c r="E328" s="9"/>
      <c r="F328" s="2026" t="s">
        <v>1008</v>
      </c>
      <c r="G328" s="9"/>
      <c r="H328" s="9"/>
      <c r="I328" s="9"/>
      <c r="J328" s="1061"/>
      <c r="K328" s="1065"/>
      <c r="L328" s="1065"/>
      <c r="M328" s="1552"/>
      <c r="N328" s="1986">
        <f>N330</f>
        <v>666.66699999999992</v>
      </c>
      <c r="O328" s="1947"/>
      <c r="P328" s="1941"/>
      <c r="Q328" s="1987"/>
      <c r="R328" s="1988">
        <f>R330</f>
        <v>1600</v>
      </c>
      <c r="V328" s="1986">
        <f>V330</f>
        <v>1700</v>
      </c>
      <c r="W328" s="1986">
        <f>W330</f>
        <v>1600</v>
      </c>
    </row>
    <row r="329" spans="1:23" ht="26" x14ac:dyDescent="0.25">
      <c r="A329" s="32"/>
      <c r="B329" s="144" t="s">
        <v>1061</v>
      </c>
      <c r="C329" s="9"/>
      <c r="D329" s="88"/>
      <c r="E329" s="9"/>
      <c r="F329" s="2026" t="s">
        <v>1008</v>
      </c>
      <c r="G329" s="9" t="s">
        <v>1060</v>
      </c>
      <c r="H329" s="9"/>
      <c r="I329" s="9"/>
      <c r="J329" s="1061"/>
      <c r="K329" s="1065"/>
      <c r="L329" s="1065"/>
      <c r="M329" s="1552"/>
      <c r="N329" s="1986"/>
      <c r="O329" s="1947"/>
      <c r="P329" s="1941"/>
      <c r="Q329" s="1987"/>
      <c r="R329" s="1988"/>
      <c r="V329" s="1986"/>
      <c r="W329" s="1986"/>
    </row>
    <row r="330" spans="1:23" ht="13" x14ac:dyDescent="0.25">
      <c r="A330" s="32"/>
      <c r="B330" s="58" t="s">
        <v>28</v>
      </c>
      <c r="C330" s="9"/>
      <c r="D330" s="88"/>
      <c r="E330" s="9"/>
      <c r="F330" s="2026" t="s">
        <v>1008</v>
      </c>
      <c r="G330" s="9" t="s">
        <v>26</v>
      </c>
      <c r="H330" s="9"/>
      <c r="I330" s="9"/>
      <c r="J330" s="1061"/>
      <c r="K330" s="1065"/>
      <c r="L330" s="1065"/>
      <c r="M330" s="1552"/>
      <c r="N330" s="1986">
        <f>N331</f>
        <v>666.66699999999992</v>
      </c>
      <c r="O330" s="1947"/>
      <c r="P330" s="1941"/>
      <c r="Q330" s="1987"/>
      <c r="R330" s="1988">
        <f>R331</f>
        <v>1600</v>
      </c>
      <c r="V330" s="1986">
        <f>V331</f>
        <v>1700</v>
      </c>
      <c r="W330" s="1986">
        <f>W331</f>
        <v>1600</v>
      </c>
    </row>
    <row r="331" spans="1:23" ht="13" x14ac:dyDescent="0.25">
      <c r="A331" s="32"/>
      <c r="B331" s="58" t="s">
        <v>39</v>
      </c>
      <c r="C331" s="9"/>
      <c r="D331" s="88"/>
      <c r="E331" s="9"/>
      <c r="F331" s="2026" t="s">
        <v>1008</v>
      </c>
      <c r="G331" s="9" t="s">
        <v>26</v>
      </c>
      <c r="H331" s="9" t="s">
        <v>463</v>
      </c>
      <c r="I331" s="9" t="s">
        <v>488</v>
      </c>
      <c r="J331" s="1061"/>
      <c r="K331" s="1065"/>
      <c r="L331" s="1065"/>
      <c r="M331" s="1552"/>
      <c r="N331" s="1986">
        <f>304.426+362.241</f>
        <v>666.66699999999992</v>
      </c>
      <c r="O331" s="1947"/>
      <c r="P331" s="1941"/>
      <c r="Q331" s="1987"/>
      <c r="R331" s="1988">
        <f>1443+157</f>
        <v>1600</v>
      </c>
      <c r="V331" s="1986">
        <f>1600+95+5</f>
        <v>1700</v>
      </c>
      <c r="W331" s="1986">
        <f>2100-500</f>
        <v>1600</v>
      </c>
    </row>
    <row r="332" spans="1:23" ht="42" customHeight="1" x14ac:dyDescent="0.25">
      <c r="A332" s="91">
        <v>7</v>
      </c>
      <c r="B332" s="132" t="s">
        <v>915</v>
      </c>
      <c r="C332" s="9"/>
      <c r="D332" s="34" t="s">
        <v>15</v>
      </c>
      <c r="E332" s="34" t="s">
        <v>32</v>
      </c>
      <c r="F332" s="34" t="s">
        <v>189</v>
      </c>
      <c r="G332" s="131"/>
      <c r="H332" s="131"/>
      <c r="I332" s="34"/>
      <c r="J332" s="51">
        <f>J333</f>
        <v>7617.2000000000007</v>
      </c>
      <c r="K332" s="131"/>
      <c r="L332" s="51">
        <f>L334+L338</f>
        <v>7617.2</v>
      </c>
      <c r="M332" s="1562">
        <f>M334+M338</f>
        <v>7463.8</v>
      </c>
      <c r="N332" s="1982">
        <f>N333+N343</f>
        <v>31670.397000000001</v>
      </c>
      <c r="O332" s="1958">
        <f>O333</f>
        <v>32518.875</v>
      </c>
      <c r="P332" s="1944">
        <f>P333</f>
        <v>31004.17</v>
      </c>
      <c r="Q332" s="1996">
        <f>Q333</f>
        <v>33058.639999999999</v>
      </c>
      <c r="R332" s="1997">
        <f>R333</f>
        <v>34696.880000000005</v>
      </c>
      <c r="V332" s="1982">
        <f>V333</f>
        <v>32046.879999999997</v>
      </c>
      <c r="W332" s="1982">
        <f>W333</f>
        <v>33196.879999999997</v>
      </c>
    </row>
    <row r="333" spans="1:23" ht="56.5" customHeight="1" x14ac:dyDescent="0.25">
      <c r="A333" s="91"/>
      <c r="B333" s="1098" t="s">
        <v>188</v>
      </c>
      <c r="C333" s="9"/>
      <c r="D333" s="34"/>
      <c r="E333" s="34"/>
      <c r="F333" s="9" t="s">
        <v>187</v>
      </c>
      <c r="G333" s="131"/>
      <c r="H333" s="131"/>
      <c r="I333" s="34"/>
      <c r="J333" s="47">
        <f>J334+J338</f>
        <v>7617.2000000000007</v>
      </c>
      <c r="K333" s="131"/>
      <c r="L333" s="51"/>
      <c r="M333" s="1562"/>
      <c r="N333" s="1986">
        <f>N337+N342</f>
        <v>31541.972000000002</v>
      </c>
      <c r="O333" s="2027">
        <f>O334+O338</f>
        <v>32518.875</v>
      </c>
      <c r="P333" s="1950">
        <f>P334+P338</f>
        <v>31004.17</v>
      </c>
      <c r="Q333" s="2028">
        <f>Q334+Q338</f>
        <v>33058.639999999999</v>
      </c>
      <c r="R333" s="2029">
        <f>R334+R338</f>
        <v>34696.880000000005</v>
      </c>
      <c r="V333" s="1986">
        <f>V337+V342</f>
        <v>32046.879999999997</v>
      </c>
      <c r="W333" s="1986">
        <f>W337+W342</f>
        <v>33196.879999999997</v>
      </c>
    </row>
    <row r="334" spans="1:23" ht="39" x14ac:dyDescent="0.25">
      <c r="A334" s="32"/>
      <c r="B334" s="49" t="s">
        <v>186</v>
      </c>
      <c r="C334" s="9"/>
      <c r="D334" s="34" t="s">
        <v>15</v>
      </c>
      <c r="E334" s="34" t="s">
        <v>32</v>
      </c>
      <c r="F334" s="9" t="s">
        <v>185</v>
      </c>
      <c r="G334" s="9"/>
      <c r="H334" s="9"/>
      <c r="I334" s="34"/>
      <c r="J334" s="1061">
        <f>J336</f>
        <v>5253.4660000000003</v>
      </c>
      <c r="K334" s="1065"/>
      <c r="L334" s="1065">
        <f t="shared" ref="L334:R334" si="200">L336</f>
        <v>5406.2</v>
      </c>
      <c r="M334" s="1552">
        <f t="shared" si="200"/>
        <v>5230.3</v>
      </c>
      <c r="N334" s="1986">
        <f t="shared" si="200"/>
        <v>3642.6390000000001</v>
      </c>
      <c r="O334" s="1947">
        <f t="shared" si="200"/>
        <v>10043.379999999999</v>
      </c>
      <c r="P334" s="1941">
        <f t="shared" si="200"/>
        <v>6288.7259999999997</v>
      </c>
      <c r="Q334" s="1987">
        <f t="shared" si="200"/>
        <v>2500</v>
      </c>
      <c r="R334" s="1988">
        <f t="shared" si="200"/>
        <v>2800</v>
      </c>
      <c r="V334" s="1986">
        <f t="shared" ref="V334:W334" si="201">V336</f>
        <v>3840.1530000000002</v>
      </c>
      <c r="W334" s="1986">
        <f t="shared" si="201"/>
        <v>3233.6149999999998</v>
      </c>
    </row>
    <row r="335" spans="1:23" ht="26" x14ac:dyDescent="0.25">
      <c r="A335" s="32"/>
      <c r="B335" s="49" t="s">
        <v>1048</v>
      </c>
      <c r="C335" s="9"/>
      <c r="D335" s="34"/>
      <c r="E335" s="34"/>
      <c r="F335" s="9" t="s">
        <v>185</v>
      </c>
      <c r="G335" s="9" t="s">
        <v>955</v>
      </c>
      <c r="H335" s="9"/>
      <c r="I335" s="34"/>
      <c r="J335" s="1061"/>
      <c r="K335" s="1065"/>
      <c r="L335" s="1065"/>
      <c r="M335" s="1552"/>
      <c r="N335" s="1986"/>
      <c r="O335" s="1947"/>
      <c r="P335" s="1941"/>
      <c r="Q335" s="1987"/>
      <c r="R335" s="1988"/>
      <c r="V335" s="1986"/>
      <c r="W335" s="1986"/>
    </row>
    <row r="336" spans="1:23" ht="25.15" customHeight="1" x14ac:dyDescent="0.25">
      <c r="A336" s="32"/>
      <c r="B336" s="1993" t="s">
        <v>4</v>
      </c>
      <c r="C336" s="9"/>
      <c r="D336" s="9" t="s">
        <v>15</v>
      </c>
      <c r="E336" s="9" t="s">
        <v>32</v>
      </c>
      <c r="F336" s="9" t="s">
        <v>185</v>
      </c>
      <c r="G336" s="9" t="s">
        <v>1</v>
      </c>
      <c r="H336" s="9"/>
      <c r="I336" s="9"/>
      <c r="J336" s="1061">
        <f>J337</f>
        <v>5253.4660000000003</v>
      </c>
      <c r="K336" s="1065"/>
      <c r="L336" s="1061">
        <v>5406.2</v>
      </c>
      <c r="M336" s="1550">
        <v>5230.3</v>
      </c>
      <c r="N336" s="1986">
        <f>N337</f>
        <v>3642.6390000000001</v>
      </c>
      <c r="O336" s="1947">
        <f>O337</f>
        <v>10043.379999999999</v>
      </c>
      <c r="P336" s="1941">
        <f>P337</f>
        <v>6288.7259999999997</v>
      </c>
      <c r="Q336" s="1987">
        <f>Q337</f>
        <v>2500</v>
      </c>
      <c r="R336" s="1988">
        <f>R337</f>
        <v>2800</v>
      </c>
      <c r="V336" s="1986">
        <f>V337</f>
        <v>3840.1530000000002</v>
      </c>
      <c r="W336" s="1986">
        <f>W337</f>
        <v>3233.6149999999998</v>
      </c>
    </row>
    <row r="337" spans="1:256" ht="13" x14ac:dyDescent="0.3">
      <c r="A337" s="32"/>
      <c r="B337" s="744" t="s">
        <v>34</v>
      </c>
      <c r="C337" s="9"/>
      <c r="D337" s="9"/>
      <c r="E337" s="9"/>
      <c r="F337" s="9" t="s">
        <v>185</v>
      </c>
      <c r="G337" s="9" t="s">
        <v>1</v>
      </c>
      <c r="H337" s="9" t="s">
        <v>463</v>
      </c>
      <c r="I337" s="9" t="s">
        <v>495</v>
      </c>
      <c r="J337" s="1061">
        <v>5253.4660000000003</v>
      </c>
      <c r="K337" s="1065"/>
      <c r="L337" s="1061"/>
      <c r="M337" s="1550"/>
      <c r="N337" s="1986">
        <v>3642.6390000000001</v>
      </c>
      <c r="O337" s="1947">
        <v>10043.379999999999</v>
      </c>
      <c r="P337" s="1941">
        <v>6288.7259999999997</v>
      </c>
      <c r="Q337" s="2030">
        <v>2500</v>
      </c>
      <c r="R337" s="2031">
        <v>2800</v>
      </c>
      <c r="V337" s="1986">
        <f>5490.153-1650</f>
        <v>3840.1530000000002</v>
      </c>
      <c r="W337" s="1986">
        <f>4233.615-1000</f>
        <v>3233.6149999999998</v>
      </c>
    </row>
    <row r="338" spans="1:256" ht="39" x14ac:dyDescent="0.25">
      <c r="A338" s="32"/>
      <c r="B338" s="49" t="s">
        <v>184</v>
      </c>
      <c r="C338" s="9"/>
      <c r="D338" s="34" t="s">
        <v>15</v>
      </c>
      <c r="E338" s="34" t="s">
        <v>32</v>
      </c>
      <c r="F338" s="9" t="s">
        <v>183</v>
      </c>
      <c r="G338" s="9"/>
      <c r="H338" s="9"/>
      <c r="I338" s="34"/>
      <c r="J338" s="1061">
        <f>J340</f>
        <v>2363.7339999999999</v>
      </c>
      <c r="K338" s="1064"/>
      <c r="L338" s="1064">
        <f>L340</f>
        <v>2211</v>
      </c>
      <c r="M338" s="1563">
        <f>M340</f>
        <v>2233.5</v>
      </c>
      <c r="N338" s="1986">
        <f>N340</f>
        <v>27899.333000000002</v>
      </c>
      <c r="O338" s="1947">
        <f>O340</f>
        <v>22475.494999999999</v>
      </c>
      <c r="P338" s="1941">
        <f>P340</f>
        <v>24715.444</v>
      </c>
      <c r="Q338" s="1987">
        <f>Q340+Q344</f>
        <v>30558.639999999999</v>
      </c>
      <c r="R338" s="1988">
        <f>R340+R344</f>
        <v>31896.880000000001</v>
      </c>
      <c r="V338" s="1986">
        <f>V340</f>
        <v>28206.726999999999</v>
      </c>
      <c r="W338" s="1986">
        <f>W340</f>
        <v>29963.264999999999</v>
      </c>
    </row>
    <row r="339" spans="1:256" ht="26" x14ac:dyDescent="0.25">
      <c r="A339" s="32"/>
      <c r="B339" s="49" t="s">
        <v>1048</v>
      </c>
      <c r="C339" s="9"/>
      <c r="D339" s="34"/>
      <c r="E339" s="34"/>
      <c r="F339" s="9" t="s">
        <v>183</v>
      </c>
      <c r="G339" s="9" t="s">
        <v>955</v>
      </c>
      <c r="H339" s="9"/>
      <c r="I339" s="34"/>
      <c r="J339" s="1061"/>
      <c r="K339" s="1064"/>
      <c r="L339" s="1064"/>
      <c r="M339" s="1563"/>
      <c r="N339" s="1986">
        <f>N340</f>
        <v>27899.333000000002</v>
      </c>
      <c r="O339" s="1947"/>
      <c r="P339" s="1941"/>
      <c r="Q339" s="1987"/>
      <c r="R339" s="1988"/>
      <c r="V339" s="1986">
        <f>V340</f>
        <v>28206.726999999999</v>
      </c>
      <c r="W339" s="1986">
        <f>W340</f>
        <v>29963.264999999999</v>
      </c>
    </row>
    <row r="340" spans="1:256" ht="25.15" customHeight="1" x14ac:dyDescent="0.25">
      <c r="A340" s="32"/>
      <c r="B340" s="1993" t="s">
        <v>4</v>
      </c>
      <c r="C340" s="9"/>
      <c r="D340" s="9" t="s">
        <v>15</v>
      </c>
      <c r="E340" s="9" t="s">
        <v>32</v>
      </c>
      <c r="F340" s="9" t="s">
        <v>183</v>
      </c>
      <c r="G340" s="9" t="s">
        <v>1</v>
      </c>
      <c r="H340" s="9"/>
      <c r="I340" s="9"/>
      <c r="J340" s="1061">
        <f>J342</f>
        <v>2363.7339999999999</v>
      </c>
      <c r="K340" s="1064"/>
      <c r="L340" s="1064">
        <v>2211</v>
      </c>
      <c r="M340" s="1563">
        <v>2233.5</v>
      </c>
      <c r="N340" s="1986">
        <f>N342</f>
        <v>27899.333000000002</v>
      </c>
      <c r="O340" s="1947">
        <f>O342</f>
        <v>22475.494999999999</v>
      </c>
      <c r="P340" s="1941">
        <f>P342</f>
        <v>24715.444</v>
      </c>
      <c r="Q340" s="1987">
        <f>Q342</f>
        <v>30558.639999999999</v>
      </c>
      <c r="R340" s="1988">
        <f>R342</f>
        <v>31896.880000000001</v>
      </c>
      <c r="V340" s="1986">
        <f>V342</f>
        <v>28206.726999999999</v>
      </c>
      <c r="W340" s="1986">
        <f>W342</f>
        <v>29963.264999999999</v>
      </c>
    </row>
    <row r="341" spans="1:256" ht="18.649999999999999" hidden="1" customHeight="1" x14ac:dyDescent="0.3">
      <c r="A341" s="32"/>
      <c r="B341" s="2003"/>
      <c r="C341" s="9"/>
      <c r="D341" s="9"/>
      <c r="E341" s="9"/>
      <c r="F341" s="9"/>
      <c r="G341" s="9"/>
      <c r="H341" s="9"/>
      <c r="I341" s="9"/>
      <c r="J341" s="1061"/>
      <c r="K341" s="1064"/>
      <c r="L341" s="1064"/>
      <c r="M341" s="1563"/>
      <c r="N341" s="1986"/>
      <c r="O341" s="1947"/>
      <c r="P341" s="1941"/>
      <c r="Q341" s="1987"/>
      <c r="R341" s="1988"/>
      <c r="V341" s="1986"/>
      <c r="W341" s="1986"/>
    </row>
    <row r="342" spans="1:256" ht="13" x14ac:dyDescent="0.3">
      <c r="A342" s="32"/>
      <c r="B342" s="744" t="s">
        <v>34</v>
      </c>
      <c r="C342" s="9"/>
      <c r="D342" s="9"/>
      <c r="E342" s="9"/>
      <c r="F342" s="9" t="s">
        <v>183</v>
      </c>
      <c r="G342" s="9" t="s">
        <v>1</v>
      </c>
      <c r="H342" s="9" t="s">
        <v>463</v>
      </c>
      <c r="I342" s="9" t="s">
        <v>495</v>
      </c>
      <c r="J342" s="1061">
        <v>2363.7339999999999</v>
      </c>
      <c r="K342" s="1064"/>
      <c r="L342" s="1064"/>
      <c r="M342" s="1563"/>
      <c r="N342" s="1986">
        <f>26117.34-6.425+1788.418</f>
        <v>27899.333000000002</v>
      </c>
      <c r="O342" s="1947">
        <v>22475.494999999999</v>
      </c>
      <c r="P342" s="1941">
        <v>24715.444</v>
      </c>
      <c r="Q342" s="1987">
        <v>30558.639999999999</v>
      </c>
      <c r="R342" s="1988">
        <v>31896.880000000001</v>
      </c>
      <c r="V342" s="1986">
        <v>28206.726999999999</v>
      </c>
      <c r="W342" s="1986">
        <f>30463.265-500</f>
        <v>29963.264999999999</v>
      </c>
    </row>
    <row r="343" spans="1:256" ht="41.5" customHeight="1" x14ac:dyDescent="0.3">
      <c r="A343" s="32"/>
      <c r="B343" s="2012" t="s">
        <v>1121</v>
      </c>
      <c r="C343" s="9"/>
      <c r="D343" s="9"/>
      <c r="E343" s="9"/>
      <c r="F343" s="9" t="s">
        <v>1120</v>
      </c>
      <c r="G343" s="9"/>
      <c r="H343" s="9"/>
      <c r="I343" s="9"/>
      <c r="J343" s="1061"/>
      <c r="K343" s="1064"/>
      <c r="L343" s="1064"/>
      <c r="M343" s="1563"/>
      <c r="N343" s="1986">
        <f>N344</f>
        <v>128.42500000000001</v>
      </c>
      <c r="O343" s="1947"/>
      <c r="P343" s="1941"/>
      <c r="Q343" s="1987"/>
      <c r="R343" s="1988"/>
      <c r="V343" s="1986"/>
      <c r="W343" s="1986"/>
    </row>
    <row r="344" spans="1:256" s="2" customFormat="1" ht="31" customHeight="1" x14ac:dyDescent="0.25">
      <c r="A344" s="32"/>
      <c r="B344" s="2322" t="s">
        <v>1122</v>
      </c>
      <c r="C344" s="9"/>
      <c r="D344" s="9"/>
      <c r="E344" s="9"/>
      <c r="F344" s="9" t="s">
        <v>1119</v>
      </c>
      <c r="G344" s="9"/>
      <c r="H344" s="9"/>
      <c r="I344" s="9"/>
      <c r="J344" s="1061"/>
      <c r="K344" s="1064"/>
      <c r="L344" s="1064"/>
      <c r="M344" s="1563"/>
      <c r="N344" s="1986">
        <f>N346</f>
        <v>128.42500000000001</v>
      </c>
      <c r="O344" s="1947"/>
      <c r="P344" s="1941"/>
      <c r="Q344" s="1987">
        <f>Q346</f>
        <v>0</v>
      </c>
      <c r="R344" s="1988">
        <f>R346</f>
        <v>0</v>
      </c>
      <c r="V344" s="1986">
        <f>V346</f>
        <v>0</v>
      </c>
      <c r="W344" s="1986">
        <f>W346</f>
        <v>0</v>
      </c>
      <c r="Y344" s="1"/>
      <c r="Z344" s="237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6" x14ac:dyDescent="0.25">
      <c r="A345" s="32"/>
      <c r="B345" s="49" t="s">
        <v>1048</v>
      </c>
      <c r="C345" s="9"/>
      <c r="D345" s="9"/>
      <c r="E345" s="9"/>
      <c r="F345" s="9" t="s">
        <v>1119</v>
      </c>
      <c r="G345" s="9" t="s">
        <v>955</v>
      </c>
      <c r="H345" s="9"/>
      <c r="I345" s="9"/>
      <c r="J345" s="1061"/>
      <c r="K345" s="1064"/>
      <c r="L345" s="1064"/>
      <c r="M345" s="1563"/>
      <c r="N345" s="1986">
        <f>N346</f>
        <v>128.42500000000001</v>
      </c>
      <c r="O345" s="1947"/>
      <c r="P345" s="1941"/>
      <c r="Q345" s="1987"/>
      <c r="R345" s="1988"/>
      <c r="V345" s="1986"/>
      <c r="W345" s="1986"/>
      <c r="Y345" s="1"/>
      <c r="Z345" s="237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t="26" x14ac:dyDescent="0.25">
      <c r="A346" s="32"/>
      <c r="B346" s="1993" t="s">
        <v>4</v>
      </c>
      <c r="C346" s="9"/>
      <c r="D346" s="9"/>
      <c r="E346" s="9"/>
      <c r="F346" s="9" t="s">
        <v>1119</v>
      </c>
      <c r="G346" s="9" t="s">
        <v>1</v>
      </c>
      <c r="H346" s="9"/>
      <c r="I346" s="9"/>
      <c r="J346" s="1061"/>
      <c r="K346" s="1064"/>
      <c r="L346" s="1064"/>
      <c r="M346" s="1563"/>
      <c r="N346" s="1986">
        <f>N347</f>
        <v>128.42500000000001</v>
      </c>
      <c r="O346" s="1947"/>
      <c r="P346" s="1941"/>
      <c r="Q346" s="1987">
        <v>0</v>
      </c>
      <c r="R346" s="1988">
        <v>0</v>
      </c>
      <c r="V346" s="1986">
        <v>0</v>
      </c>
      <c r="W346" s="1986">
        <v>0</v>
      </c>
      <c r="Y346" s="1"/>
      <c r="Z346" s="237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13" x14ac:dyDescent="0.3">
      <c r="A347" s="32"/>
      <c r="B347" s="744" t="s">
        <v>34</v>
      </c>
      <c r="C347" s="9"/>
      <c r="D347" s="9"/>
      <c r="E347" s="9"/>
      <c r="F347" s="9" t="s">
        <v>1119</v>
      </c>
      <c r="G347" s="9" t="s">
        <v>1</v>
      </c>
      <c r="H347" s="9" t="s">
        <v>463</v>
      </c>
      <c r="I347" s="9" t="s">
        <v>495</v>
      </c>
      <c r="J347" s="1061"/>
      <c r="K347" s="1064"/>
      <c r="L347" s="1064"/>
      <c r="M347" s="1563"/>
      <c r="N347" s="1986">
        <f>122+6.425</f>
        <v>128.42500000000001</v>
      </c>
      <c r="O347" s="1947"/>
      <c r="P347" s="1941"/>
      <c r="Q347" s="1987"/>
      <c r="R347" s="1988"/>
      <c r="V347" s="1986"/>
      <c r="W347" s="1986"/>
      <c r="Y347" s="1"/>
      <c r="Z347" s="237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65" x14ac:dyDescent="0.25">
      <c r="A348" s="91">
        <v>8</v>
      </c>
      <c r="B348" s="2033" t="s">
        <v>917</v>
      </c>
      <c r="C348" s="9"/>
      <c r="D348" s="9"/>
      <c r="E348" s="9"/>
      <c r="F348" s="34" t="s">
        <v>181</v>
      </c>
      <c r="G348" s="9"/>
      <c r="H348" s="9"/>
      <c r="I348" s="9"/>
      <c r="J348" s="1061"/>
      <c r="K348" s="1064"/>
      <c r="L348" s="1064"/>
      <c r="M348" s="1563"/>
      <c r="N348" s="1982">
        <f>N349+N355</f>
        <v>1500</v>
      </c>
      <c r="O348" s="1994">
        <f>O349</f>
        <v>402.59899999999999</v>
      </c>
      <c r="P348" s="1939">
        <f>P349</f>
        <v>442.85899999999998</v>
      </c>
      <c r="Q348" s="1995">
        <f>Q349</f>
        <v>0</v>
      </c>
      <c r="R348" s="1985">
        <f>R349</f>
        <v>0</v>
      </c>
      <c r="V348" s="1982">
        <f>V349+V355+V359</f>
        <v>1400</v>
      </c>
      <c r="W348" s="1982">
        <f>W349+W355+W359</f>
        <v>1400</v>
      </c>
      <c r="Y348" s="1"/>
      <c r="Z348" s="237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39" hidden="1" x14ac:dyDescent="0.25">
      <c r="A349" s="32"/>
      <c r="B349" s="1093" t="s">
        <v>180</v>
      </c>
      <c r="C349" s="9"/>
      <c r="D349" s="9"/>
      <c r="E349" s="9"/>
      <c r="F349" s="9" t="s">
        <v>179</v>
      </c>
      <c r="G349" s="9"/>
      <c r="H349" s="9"/>
      <c r="I349" s="9"/>
      <c r="J349" s="1061"/>
      <c r="K349" s="1064"/>
      <c r="L349" s="1064"/>
      <c r="M349" s="1563"/>
      <c r="N349" s="1986">
        <f>N350</f>
        <v>0</v>
      </c>
      <c r="O349" s="1947">
        <f>O356+O350</f>
        <v>402.59899999999999</v>
      </c>
      <c r="P349" s="1941">
        <f>P356+P350</f>
        <v>442.85899999999998</v>
      </c>
      <c r="Q349" s="1987">
        <f>Q356+Q350</f>
        <v>0</v>
      </c>
      <c r="R349" s="1988">
        <f>R356+R350</f>
        <v>0</v>
      </c>
      <c r="V349" s="1986">
        <f>V350</f>
        <v>0</v>
      </c>
      <c r="W349" s="1986">
        <f>W350</f>
        <v>0</v>
      </c>
      <c r="Y349" s="1"/>
      <c r="Z349" s="237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6" hidden="1" x14ac:dyDescent="0.25">
      <c r="A350" s="32"/>
      <c r="B350" s="1098" t="s">
        <v>23</v>
      </c>
      <c r="C350" s="9"/>
      <c r="D350" s="9"/>
      <c r="E350" s="9"/>
      <c r="F350" s="9" t="s">
        <v>178</v>
      </c>
      <c r="G350" s="9"/>
      <c r="H350" s="9"/>
      <c r="I350" s="9"/>
      <c r="J350" s="1061"/>
      <c r="K350" s="1064"/>
      <c r="L350" s="1064"/>
      <c r="M350" s="1563"/>
      <c r="N350" s="1986">
        <f>N352+N354</f>
        <v>0</v>
      </c>
      <c r="O350" s="1947">
        <f t="shared" ref="O350:R350" si="202">O353</f>
        <v>0</v>
      </c>
      <c r="P350" s="1941">
        <f t="shared" si="202"/>
        <v>0</v>
      </c>
      <c r="Q350" s="1987">
        <f t="shared" si="202"/>
        <v>0</v>
      </c>
      <c r="R350" s="1988">
        <f t="shared" si="202"/>
        <v>0</v>
      </c>
      <c r="V350" s="1986">
        <f>V352+V354</f>
        <v>0</v>
      </c>
      <c r="W350" s="1986">
        <f>W352+W354</f>
        <v>0</v>
      </c>
      <c r="Y350" s="1"/>
      <c r="Z350" s="237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ht="26" hidden="1" x14ac:dyDescent="0.25">
      <c r="A351" s="32"/>
      <c r="B351" s="1544" t="s">
        <v>454</v>
      </c>
      <c r="C351" s="9"/>
      <c r="D351" s="9"/>
      <c r="E351" s="9"/>
      <c r="F351" s="9" t="s">
        <v>178</v>
      </c>
      <c r="G351" s="9" t="s">
        <v>1</v>
      </c>
      <c r="H351" s="9"/>
      <c r="I351" s="9"/>
      <c r="J351" s="1061"/>
      <c r="K351" s="1064"/>
      <c r="L351" s="1064"/>
      <c r="M351" s="1563"/>
      <c r="N351" s="1986">
        <f>N352</f>
        <v>0</v>
      </c>
      <c r="O351" s="1947"/>
      <c r="P351" s="1941"/>
      <c r="Q351" s="1987"/>
      <c r="R351" s="1988"/>
      <c r="V351" s="1986">
        <f>V352</f>
        <v>0</v>
      </c>
      <c r="W351" s="1986">
        <f>W352</f>
        <v>0</v>
      </c>
      <c r="Y351" s="1"/>
      <c r="Z351" s="237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t="13" hidden="1" x14ac:dyDescent="0.3">
      <c r="A352" s="32"/>
      <c r="B352" s="744" t="s">
        <v>39</v>
      </c>
      <c r="C352" s="9"/>
      <c r="D352" s="9"/>
      <c r="E352" s="9"/>
      <c r="F352" s="9" t="s">
        <v>178</v>
      </c>
      <c r="G352" s="9" t="s">
        <v>1</v>
      </c>
      <c r="H352" s="9" t="s">
        <v>463</v>
      </c>
      <c r="I352" s="9" t="s">
        <v>488</v>
      </c>
      <c r="J352" s="1061"/>
      <c r="K352" s="1064"/>
      <c r="L352" s="1064"/>
      <c r="M352" s="1563"/>
      <c r="N352" s="1986"/>
      <c r="O352" s="1947"/>
      <c r="P352" s="1941"/>
      <c r="Q352" s="1987"/>
      <c r="R352" s="1988"/>
      <c r="V352" s="1986"/>
      <c r="W352" s="1986"/>
      <c r="Y352" s="1"/>
      <c r="Z352" s="237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t="13" hidden="1" x14ac:dyDescent="0.25">
      <c r="A353" s="32"/>
      <c r="B353" s="1544" t="s">
        <v>481</v>
      </c>
      <c r="C353" s="9"/>
      <c r="D353" s="9"/>
      <c r="E353" s="9"/>
      <c r="F353" s="9" t="s">
        <v>178</v>
      </c>
      <c r="G353" s="9" t="s">
        <v>26</v>
      </c>
      <c r="H353" s="9"/>
      <c r="I353" s="9"/>
      <c r="J353" s="1061"/>
      <c r="K353" s="1064"/>
      <c r="L353" s="1064"/>
      <c r="M353" s="1563"/>
      <c r="N353" s="2034">
        <f>N354</f>
        <v>0</v>
      </c>
      <c r="O353" s="1947">
        <f>O354</f>
        <v>0</v>
      </c>
      <c r="P353" s="1941">
        <f>P354</f>
        <v>0</v>
      </c>
      <c r="Q353" s="1987">
        <f>Q354</f>
        <v>0</v>
      </c>
      <c r="R353" s="1988">
        <f>R354</f>
        <v>0</v>
      </c>
      <c r="V353" s="2034">
        <f>V354</f>
        <v>0</v>
      </c>
      <c r="W353" s="2034">
        <f>W354</f>
        <v>0</v>
      </c>
      <c r="Y353" s="1"/>
      <c r="Z353" s="237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t="13" hidden="1" x14ac:dyDescent="0.3">
      <c r="A354" s="32"/>
      <c r="B354" s="744" t="s">
        <v>39</v>
      </c>
      <c r="C354" s="9"/>
      <c r="D354" s="9"/>
      <c r="E354" s="9"/>
      <c r="F354" s="9" t="s">
        <v>178</v>
      </c>
      <c r="G354" s="9" t="s">
        <v>26</v>
      </c>
      <c r="H354" s="9" t="s">
        <v>463</v>
      </c>
      <c r="I354" s="9" t="s">
        <v>488</v>
      </c>
      <c r="J354" s="1061"/>
      <c r="K354" s="1064"/>
      <c r="L354" s="1064"/>
      <c r="M354" s="1563"/>
      <c r="N354" s="1998"/>
      <c r="O354" s="1999"/>
      <c r="P354" s="1937"/>
      <c r="Q354" s="2000"/>
      <c r="R354" s="2001"/>
      <c r="V354" s="1998"/>
      <c r="W354" s="1998"/>
      <c r="Y354" s="1"/>
      <c r="Z354" s="237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25" customHeight="1" x14ac:dyDescent="0.25">
      <c r="A355" s="32"/>
      <c r="B355" s="337" t="s">
        <v>1009</v>
      </c>
      <c r="C355" s="9"/>
      <c r="D355" s="9"/>
      <c r="E355" s="9"/>
      <c r="F355" s="9" t="s">
        <v>1010</v>
      </c>
      <c r="G355" s="9"/>
      <c r="H355" s="9"/>
      <c r="I355" s="9"/>
      <c r="J355" s="1061"/>
      <c r="K355" s="1064"/>
      <c r="L355" s="1064"/>
      <c r="M355" s="1563"/>
      <c r="N355" s="1998">
        <f>N356</f>
        <v>1500</v>
      </c>
      <c r="O355" s="1999"/>
      <c r="P355" s="1937"/>
      <c r="Q355" s="2000"/>
      <c r="R355" s="2001"/>
      <c r="V355" s="1998">
        <f>V356</f>
        <v>1000</v>
      </c>
      <c r="W355" s="1998">
        <f>W356</f>
        <v>1000</v>
      </c>
      <c r="Y355" s="1"/>
      <c r="Z355" s="237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26" x14ac:dyDescent="0.25">
      <c r="A356" s="32"/>
      <c r="B356" s="1108" t="s">
        <v>1011</v>
      </c>
      <c r="C356" s="9"/>
      <c r="D356" s="9"/>
      <c r="E356" s="9"/>
      <c r="F356" s="9" t="s">
        <v>1012</v>
      </c>
      <c r="G356" s="9"/>
      <c r="H356" s="9"/>
      <c r="I356" s="9"/>
      <c r="J356" s="1061"/>
      <c r="K356" s="1064"/>
      <c r="L356" s="1064"/>
      <c r="M356" s="1563"/>
      <c r="N356" s="1998">
        <f>N361</f>
        <v>1500</v>
      </c>
      <c r="O356" s="1999">
        <f>O361</f>
        <v>402.59899999999999</v>
      </c>
      <c r="P356" s="1937">
        <f>P361</f>
        <v>442.85899999999998</v>
      </c>
      <c r="Q356" s="2000">
        <f>Q361</f>
        <v>0</v>
      </c>
      <c r="R356" s="2001">
        <f>R361</f>
        <v>0</v>
      </c>
      <c r="V356" s="1998">
        <f t="shared" ref="V356:W356" si="203">V361</f>
        <v>1000</v>
      </c>
      <c r="W356" s="1998">
        <f t="shared" si="203"/>
        <v>1000</v>
      </c>
      <c r="Y356" s="1"/>
      <c r="Z356" s="237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" x14ac:dyDescent="0.25">
      <c r="A357" s="32"/>
      <c r="B357" s="49" t="s">
        <v>1048</v>
      </c>
      <c r="C357" s="9"/>
      <c r="D357" s="9"/>
      <c r="E357" s="9"/>
      <c r="F357" s="9" t="s">
        <v>1012</v>
      </c>
      <c r="G357" s="9" t="s">
        <v>955</v>
      </c>
      <c r="H357" s="9"/>
      <c r="I357" s="9"/>
      <c r="J357" s="1061"/>
      <c r="K357" s="1064"/>
      <c r="L357" s="1064"/>
      <c r="M357" s="1563"/>
      <c r="N357" s="2149">
        <f>N358</f>
        <v>0</v>
      </c>
      <c r="O357" s="1999"/>
      <c r="P357" s="1937"/>
      <c r="Q357" s="2000"/>
      <c r="R357" s="2001"/>
      <c r="V357" s="1998">
        <f t="shared" ref="V357:W358" si="204">V358</f>
        <v>400</v>
      </c>
      <c r="W357" s="1998">
        <f t="shared" si="204"/>
        <v>400</v>
      </c>
      <c r="Y357" s="1"/>
      <c r="Z357" s="237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26" x14ac:dyDescent="0.25">
      <c r="A358" s="32"/>
      <c r="B358" s="1544" t="s">
        <v>454</v>
      </c>
      <c r="C358" s="9"/>
      <c r="D358" s="9"/>
      <c r="E358" s="9"/>
      <c r="F358" s="9" t="s">
        <v>1012</v>
      </c>
      <c r="G358" s="9" t="s">
        <v>1</v>
      </c>
      <c r="H358" s="9"/>
      <c r="I358" s="9"/>
      <c r="J358" s="1061"/>
      <c r="K358" s="1064"/>
      <c r="L358" s="1064"/>
      <c r="M358" s="1563"/>
      <c r="N358" s="2149">
        <f>N359</f>
        <v>0</v>
      </c>
      <c r="O358" s="1999"/>
      <c r="P358" s="1937"/>
      <c r="Q358" s="2000"/>
      <c r="R358" s="2001"/>
      <c r="V358" s="1998">
        <f t="shared" si="204"/>
        <v>400</v>
      </c>
      <c r="W358" s="1998">
        <f t="shared" si="204"/>
        <v>400</v>
      </c>
      <c r="Y358" s="1"/>
      <c r="Z358" s="237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13" x14ac:dyDescent="0.3">
      <c r="A359" s="32"/>
      <c r="B359" s="744" t="s">
        <v>39</v>
      </c>
      <c r="C359" s="9"/>
      <c r="D359" s="9"/>
      <c r="E359" s="9"/>
      <c r="F359" s="9" t="s">
        <v>1012</v>
      </c>
      <c r="G359" s="9" t="s">
        <v>1</v>
      </c>
      <c r="H359" s="9" t="s">
        <v>463</v>
      </c>
      <c r="I359" s="9" t="s">
        <v>488</v>
      </c>
      <c r="J359" s="1061"/>
      <c r="K359" s="1064"/>
      <c r="L359" s="1064"/>
      <c r="M359" s="1563"/>
      <c r="N359" s="2149">
        <v>0</v>
      </c>
      <c r="O359" s="1999"/>
      <c r="P359" s="1937"/>
      <c r="Q359" s="2000"/>
      <c r="R359" s="2001"/>
      <c r="V359" s="1998">
        <v>400</v>
      </c>
      <c r="W359" s="1998">
        <v>400</v>
      </c>
      <c r="Y359" s="1"/>
      <c r="Z359" s="237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s="2" customFormat="1" ht="13" x14ac:dyDescent="0.25">
      <c r="A360" s="32"/>
      <c r="B360" s="2176" t="s">
        <v>1065</v>
      </c>
      <c r="C360" s="9"/>
      <c r="D360" s="9"/>
      <c r="E360" s="9"/>
      <c r="F360" s="9" t="s">
        <v>1012</v>
      </c>
      <c r="G360" s="9" t="s">
        <v>1064</v>
      </c>
      <c r="H360" s="9"/>
      <c r="I360" s="9"/>
      <c r="J360" s="1061"/>
      <c r="K360" s="1064"/>
      <c r="L360" s="1064"/>
      <c r="M360" s="1563"/>
      <c r="N360" s="2149">
        <f>N361</f>
        <v>1500</v>
      </c>
      <c r="O360" s="2177"/>
      <c r="P360" s="2178"/>
      <c r="Q360" s="2179"/>
      <c r="R360" s="2180"/>
      <c r="S360" s="2156"/>
      <c r="T360" s="2156"/>
      <c r="U360" s="2156"/>
      <c r="V360" s="2181">
        <f>V361</f>
        <v>1000</v>
      </c>
      <c r="W360" s="2181">
        <f>W361</f>
        <v>1000</v>
      </c>
      <c r="Y360" s="1"/>
      <c r="Z360" s="237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s="2" customFormat="1" ht="26" x14ac:dyDescent="0.25">
      <c r="A361" s="32"/>
      <c r="B361" s="1544" t="s">
        <v>523</v>
      </c>
      <c r="C361" s="9"/>
      <c r="D361" s="9"/>
      <c r="E361" s="9"/>
      <c r="F361" s="9" t="s">
        <v>1012</v>
      </c>
      <c r="G361" s="9" t="s">
        <v>521</v>
      </c>
      <c r="H361" s="9"/>
      <c r="I361" s="9"/>
      <c r="J361" s="1061"/>
      <c r="K361" s="1064"/>
      <c r="L361" s="1064"/>
      <c r="M361" s="1563"/>
      <c r="N361" s="1998">
        <f>N362</f>
        <v>1500</v>
      </c>
      <c r="O361" s="1999">
        <f t="shared" ref="O361:R361" si="205">O362</f>
        <v>402.59899999999999</v>
      </c>
      <c r="P361" s="1937">
        <f t="shared" si="205"/>
        <v>442.85899999999998</v>
      </c>
      <c r="Q361" s="2000">
        <f t="shared" si="205"/>
        <v>0</v>
      </c>
      <c r="R361" s="2001">
        <f t="shared" si="205"/>
        <v>0</v>
      </c>
      <c r="V361" s="1998">
        <f>V362</f>
        <v>1000</v>
      </c>
      <c r="W361" s="1998">
        <f>W362</f>
        <v>1000</v>
      </c>
      <c r="Y361" s="1"/>
      <c r="Z361" s="237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s="2" customFormat="1" ht="13" x14ac:dyDescent="0.3">
      <c r="A362" s="32"/>
      <c r="B362" s="744" t="s">
        <v>39</v>
      </c>
      <c r="C362" s="9"/>
      <c r="D362" s="9"/>
      <c r="E362" s="9"/>
      <c r="F362" s="9" t="s">
        <v>1012</v>
      </c>
      <c r="G362" s="9" t="s">
        <v>521</v>
      </c>
      <c r="H362" s="9" t="s">
        <v>463</v>
      </c>
      <c r="I362" s="9" t="s">
        <v>488</v>
      </c>
      <c r="J362" s="1061"/>
      <c r="K362" s="1064"/>
      <c r="L362" s="1064"/>
      <c r="M362" s="1563"/>
      <c r="N362" s="1986">
        <v>1500</v>
      </c>
      <c r="O362" s="1947">
        <v>402.59899999999999</v>
      </c>
      <c r="P362" s="1941">
        <v>442.85899999999998</v>
      </c>
      <c r="Q362" s="1987">
        <v>0</v>
      </c>
      <c r="R362" s="1988">
        <v>0</v>
      </c>
      <c r="V362" s="1986">
        <v>1000</v>
      </c>
      <c r="W362" s="1986">
        <v>1000</v>
      </c>
      <c r="Y362" s="1"/>
      <c r="Z362" s="237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s="2" customFormat="1" ht="39" hidden="1" x14ac:dyDescent="0.25">
      <c r="A363" s="91">
        <v>9</v>
      </c>
      <c r="B363" s="2033" t="s">
        <v>861</v>
      </c>
      <c r="C363" s="9"/>
      <c r="D363" s="9"/>
      <c r="E363" s="9"/>
      <c r="F363" s="2035" t="s">
        <v>468</v>
      </c>
      <c r="G363" s="2035" t="s">
        <v>106</v>
      </c>
      <c r="H363" s="2035"/>
      <c r="I363" s="9"/>
      <c r="J363" s="1061"/>
      <c r="K363" s="1064"/>
      <c r="L363" s="1064"/>
      <c r="M363" s="1563"/>
      <c r="N363" s="1982">
        <f>N369+N375</f>
        <v>0</v>
      </c>
      <c r="O363" s="1947"/>
      <c r="P363" s="1941"/>
      <c r="Q363" s="2036"/>
      <c r="R363" s="2037"/>
      <c r="V363" s="1982">
        <f>V369+V375</f>
        <v>0</v>
      </c>
      <c r="W363" s="1982">
        <f>W369+W375</f>
        <v>0</v>
      </c>
      <c r="Y363" s="1"/>
      <c r="Z363" s="237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.5" hidden="1" x14ac:dyDescent="0.25">
      <c r="A364" s="32"/>
      <c r="B364" s="1109" t="s">
        <v>849</v>
      </c>
      <c r="C364" s="9"/>
      <c r="D364" s="9"/>
      <c r="E364" s="9"/>
      <c r="F364" s="2038" t="s">
        <v>854</v>
      </c>
      <c r="G364" s="2039"/>
      <c r="H364" s="2039"/>
      <c r="I364" s="9"/>
      <c r="J364" s="1061"/>
      <c r="K364" s="1064"/>
      <c r="L364" s="1064"/>
      <c r="M364" s="1563"/>
      <c r="N364" s="1986">
        <f t="shared" ref="N364:N405" si="206">N365</f>
        <v>0</v>
      </c>
      <c r="O364" s="1947"/>
      <c r="P364" s="1941"/>
      <c r="Q364" s="2040"/>
      <c r="R364" s="2041"/>
      <c r="V364" s="1986">
        <f t="shared" ref="V364:W405" si="207">V365</f>
        <v>0</v>
      </c>
      <c r="W364" s="1986">
        <f t="shared" si="207"/>
        <v>0</v>
      </c>
      <c r="Y364" s="1"/>
      <c r="Z364" s="237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26" hidden="1" x14ac:dyDescent="0.25">
      <c r="A365" s="32"/>
      <c r="B365" s="1092" t="s">
        <v>850</v>
      </c>
      <c r="C365" s="9"/>
      <c r="D365" s="9"/>
      <c r="E365" s="9"/>
      <c r="F365" s="2038" t="s">
        <v>855</v>
      </c>
      <c r="G365" s="2042"/>
      <c r="H365" s="2042"/>
      <c r="I365" s="9"/>
      <c r="J365" s="1061"/>
      <c r="K365" s="1064"/>
      <c r="L365" s="1064"/>
      <c r="M365" s="1563"/>
      <c r="N365" s="1986">
        <f t="shared" si="206"/>
        <v>0</v>
      </c>
      <c r="O365" s="1947"/>
      <c r="P365" s="1941"/>
      <c r="Q365" s="2040"/>
      <c r="R365" s="2041"/>
      <c r="V365" s="1986">
        <f t="shared" si="207"/>
        <v>0</v>
      </c>
      <c r="W365" s="1986">
        <f t="shared" si="207"/>
        <v>0</v>
      </c>
      <c r="Y365" s="1"/>
      <c r="Z365" s="237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41.5" hidden="1" customHeight="1" x14ac:dyDescent="0.25">
      <c r="A366" s="32"/>
      <c r="B366" s="1110" t="s">
        <v>851</v>
      </c>
      <c r="C366" s="9"/>
      <c r="D366" s="9"/>
      <c r="E366" s="9"/>
      <c r="F366" s="2038" t="s">
        <v>856</v>
      </c>
      <c r="G366" s="2043"/>
      <c r="H366" s="2043"/>
      <c r="I366" s="9"/>
      <c r="J366" s="1061"/>
      <c r="K366" s="1064"/>
      <c r="L366" s="1064"/>
      <c r="M366" s="1563"/>
      <c r="N366" s="1986">
        <f t="shared" si="206"/>
        <v>0</v>
      </c>
      <c r="O366" s="1947"/>
      <c r="P366" s="1941"/>
      <c r="Q366" s="2040"/>
      <c r="R366" s="2041"/>
      <c r="V366" s="1986">
        <f t="shared" si="207"/>
        <v>0</v>
      </c>
      <c r="W366" s="1986">
        <f t="shared" si="207"/>
        <v>0</v>
      </c>
      <c r="Y366" s="1"/>
      <c r="Z366" s="237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13" hidden="1" x14ac:dyDescent="0.25">
      <c r="A367" s="32"/>
      <c r="B367" s="1203" t="s">
        <v>852</v>
      </c>
      <c r="C367" s="9"/>
      <c r="D367" s="9"/>
      <c r="E367" s="9"/>
      <c r="F367" s="2043" t="s">
        <v>856</v>
      </c>
      <c r="G367" s="2044" t="s">
        <v>860</v>
      </c>
      <c r="H367" s="2044"/>
      <c r="I367" s="9"/>
      <c r="J367" s="1061"/>
      <c r="K367" s="1064"/>
      <c r="L367" s="1064"/>
      <c r="M367" s="1563"/>
      <c r="N367" s="1986">
        <f t="shared" si="206"/>
        <v>0</v>
      </c>
      <c r="O367" s="1947"/>
      <c r="P367" s="1941"/>
      <c r="Q367" s="2040"/>
      <c r="R367" s="2041"/>
      <c r="V367" s="1986">
        <f t="shared" si="207"/>
        <v>0</v>
      </c>
      <c r="W367" s="1986">
        <f t="shared" si="207"/>
        <v>0</v>
      </c>
      <c r="Y367" s="1"/>
      <c r="Z367" s="237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13" hidden="1" x14ac:dyDescent="0.25">
      <c r="A368" s="32"/>
      <c r="B368" s="1203" t="s">
        <v>80</v>
      </c>
      <c r="C368" s="9"/>
      <c r="D368" s="9"/>
      <c r="E368" s="9"/>
      <c r="F368" s="2043" t="s">
        <v>856</v>
      </c>
      <c r="G368" s="2044" t="s">
        <v>77</v>
      </c>
      <c r="H368" s="2044"/>
      <c r="I368" s="9"/>
      <c r="J368" s="1061"/>
      <c r="K368" s="1064"/>
      <c r="L368" s="1064"/>
      <c r="M368" s="1563"/>
      <c r="N368" s="1986">
        <f t="shared" si="206"/>
        <v>0</v>
      </c>
      <c r="O368" s="1947"/>
      <c r="P368" s="1941"/>
      <c r="Q368" s="2040"/>
      <c r="R368" s="2041"/>
      <c r="V368" s="1986">
        <f t="shared" si="207"/>
        <v>0</v>
      </c>
      <c r="W368" s="1986">
        <f t="shared" si="207"/>
        <v>0</v>
      </c>
      <c r="Y368" s="1"/>
      <c r="Z368" s="237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13" hidden="1" x14ac:dyDescent="0.25">
      <c r="A369" s="32"/>
      <c r="B369" s="1184" t="s">
        <v>45</v>
      </c>
      <c r="C369" s="9"/>
      <c r="D369" s="9"/>
      <c r="E369" s="9"/>
      <c r="F369" s="2043" t="s">
        <v>856</v>
      </c>
      <c r="G369" s="2044" t="s">
        <v>77</v>
      </c>
      <c r="H369" s="2044" t="s">
        <v>496</v>
      </c>
      <c r="I369" s="9" t="s">
        <v>495</v>
      </c>
      <c r="J369" s="1061"/>
      <c r="K369" s="1064"/>
      <c r="L369" s="1064"/>
      <c r="M369" s="1563"/>
      <c r="N369" s="1986"/>
      <c r="O369" s="1947"/>
      <c r="P369" s="1941"/>
      <c r="Q369" s="2040"/>
      <c r="R369" s="2041"/>
      <c r="V369" s="1986"/>
      <c r="W369" s="1986"/>
      <c r="Y369" s="1"/>
      <c r="Z369" s="237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40.5" hidden="1" x14ac:dyDescent="0.25">
      <c r="A370" s="32"/>
      <c r="B370" s="1109" t="s">
        <v>853</v>
      </c>
      <c r="C370" s="9"/>
      <c r="D370" s="9"/>
      <c r="E370" s="9"/>
      <c r="F370" s="2038" t="s">
        <v>857</v>
      </c>
      <c r="G370" s="2039"/>
      <c r="H370" s="2039"/>
      <c r="I370" s="9"/>
      <c r="J370" s="1061"/>
      <c r="K370" s="1064"/>
      <c r="L370" s="1064"/>
      <c r="M370" s="1563"/>
      <c r="N370" s="1986">
        <f t="shared" si="206"/>
        <v>0</v>
      </c>
      <c r="O370" s="1947"/>
      <c r="P370" s="1941"/>
      <c r="Q370" s="2040"/>
      <c r="R370" s="2041"/>
      <c r="V370" s="1986">
        <f t="shared" si="207"/>
        <v>0</v>
      </c>
      <c r="W370" s="1986">
        <f t="shared" si="207"/>
        <v>0</v>
      </c>
      <c r="Y370" s="1"/>
      <c r="Z370" s="237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26" hidden="1" x14ac:dyDescent="0.25">
      <c r="A371" s="32"/>
      <c r="B371" s="1092" t="s">
        <v>850</v>
      </c>
      <c r="C371" s="9"/>
      <c r="D371" s="9"/>
      <c r="E371" s="9"/>
      <c r="F371" s="2038" t="s">
        <v>858</v>
      </c>
      <c r="G371" s="2042"/>
      <c r="H371" s="2042"/>
      <c r="I371" s="9"/>
      <c r="J371" s="1061"/>
      <c r="K371" s="1064"/>
      <c r="L371" s="1064"/>
      <c r="M371" s="1563"/>
      <c r="N371" s="1986">
        <f t="shared" si="206"/>
        <v>0</v>
      </c>
      <c r="O371" s="1947"/>
      <c r="P371" s="1941"/>
      <c r="Q371" s="2040"/>
      <c r="R371" s="2041"/>
      <c r="V371" s="1986">
        <f t="shared" si="207"/>
        <v>0</v>
      </c>
      <c r="W371" s="1986">
        <f t="shared" si="207"/>
        <v>0</v>
      </c>
      <c r="Y371" s="1"/>
      <c r="Z371" s="237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" hidden="1" x14ac:dyDescent="0.25">
      <c r="A372" s="32"/>
      <c r="B372" s="1110" t="s">
        <v>851</v>
      </c>
      <c r="C372" s="9"/>
      <c r="D372" s="9"/>
      <c r="E372" s="9"/>
      <c r="F372" s="2038" t="s">
        <v>859</v>
      </c>
      <c r="G372" s="2043"/>
      <c r="H372" s="2043"/>
      <c r="I372" s="9"/>
      <c r="J372" s="1061"/>
      <c r="K372" s="1064"/>
      <c r="L372" s="1064"/>
      <c r="M372" s="1563"/>
      <c r="N372" s="1986">
        <f t="shared" si="206"/>
        <v>0</v>
      </c>
      <c r="O372" s="1947"/>
      <c r="P372" s="1941"/>
      <c r="Q372" s="2040"/>
      <c r="R372" s="2041"/>
      <c r="V372" s="1986">
        <f t="shared" si="207"/>
        <v>0</v>
      </c>
      <c r="W372" s="1986">
        <f t="shared" si="207"/>
        <v>0</v>
      </c>
      <c r="Y372" s="1"/>
      <c r="Z372" s="237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13" hidden="1" x14ac:dyDescent="0.25">
      <c r="A373" s="32"/>
      <c r="B373" s="1203" t="s">
        <v>852</v>
      </c>
      <c r="C373" s="9"/>
      <c r="D373" s="9"/>
      <c r="E373" s="9"/>
      <c r="F373" s="2038" t="s">
        <v>859</v>
      </c>
      <c r="G373" s="2044" t="s">
        <v>860</v>
      </c>
      <c r="H373" s="2044"/>
      <c r="I373" s="9"/>
      <c r="J373" s="1061"/>
      <c r="K373" s="1064"/>
      <c r="L373" s="1064"/>
      <c r="M373" s="1563"/>
      <c r="N373" s="1986">
        <f t="shared" si="206"/>
        <v>0</v>
      </c>
      <c r="O373" s="1947"/>
      <c r="P373" s="1941"/>
      <c r="Q373" s="2040"/>
      <c r="R373" s="2041"/>
      <c r="V373" s="1986">
        <f t="shared" si="207"/>
        <v>0</v>
      </c>
      <c r="W373" s="1986">
        <f t="shared" si="207"/>
        <v>0</v>
      </c>
      <c r="Y373" s="1"/>
      <c r="Z373" s="237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13" hidden="1" x14ac:dyDescent="0.25">
      <c r="A374" s="32"/>
      <c r="B374" s="1203" t="s">
        <v>80</v>
      </c>
      <c r="C374" s="9"/>
      <c r="D374" s="9"/>
      <c r="E374" s="9"/>
      <c r="F374" s="2043" t="s">
        <v>859</v>
      </c>
      <c r="G374" s="2044" t="s">
        <v>77</v>
      </c>
      <c r="H374" s="2044"/>
      <c r="I374" s="9"/>
      <c r="J374" s="1061"/>
      <c r="K374" s="1064"/>
      <c r="L374" s="1064"/>
      <c r="M374" s="1563"/>
      <c r="N374" s="1986">
        <f>N375</f>
        <v>0</v>
      </c>
      <c r="O374" s="1947"/>
      <c r="P374" s="1941"/>
      <c r="Q374" s="2040"/>
      <c r="R374" s="2041"/>
      <c r="V374" s="1986">
        <f>V375</f>
        <v>0</v>
      </c>
      <c r="W374" s="1986">
        <f>W375</f>
        <v>0</v>
      </c>
      <c r="Y374" s="1"/>
      <c r="Z374" s="237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13" hidden="1" x14ac:dyDescent="0.25">
      <c r="A375" s="32"/>
      <c r="B375" s="1184" t="s">
        <v>45</v>
      </c>
      <c r="C375" s="1508"/>
      <c r="D375" s="1508"/>
      <c r="E375" s="1508"/>
      <c r="F375" s="2045" t="s">
        <v>859</v>
      </c>
      <c r="G375" s="2046" t="s">
        <v>77</v>
      </c>
      <c r="H375" s="2046" t="s">
        <v>496</v>
      </c>
      <c r="I375" s="1508" t="s">
        <v>495</v>
      </c>
      <c r="J375" s="1061"/>
      <c r="K375" s="1064"/>
      <c r="L375" s="1064"/>
      <c r="M375" s="1563"/>
      <c r="N375" s="1986"/>
      <c r="O375" s="1947"/>
      <c r="P375" s="1941"/>
      <c r="Q375" s="2040"/>
      <c r="R375" s="2041"/>
      <c r="V375" s="1986"/>
      <c r="W375" s="1986"/>
      <c r="Y375" s="1"/>
      <c r="Z375" s="237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52" hidden="1" x14ac:dyDescent="0.25">
      <c r="A376" s="1504">
        <v>10</v>
      </c>
      <c r="B376" s="2047" t="s">
        <v>1013</v>
      </c>
      <c r="C376" s="1508"/>
      <c r="D376" s="1508"/>
      <c r="E376" s="1508"/>
      <c r="F376" s="2048" t="s">
        <v>1014</v>
      </c>
      <c r="G376" s="2046"/>
      <c r="H376" s="2046"/>
      <c r="I376" s="1508"/>
      <c r="J376" s="1087"/>
      <c r="K376" s="1064"/>
      <c r="L376" s="1064"/>
      <c r="M376" s="1563"/>
      <c r="N376" s="1982">
        <f>N377</f>
        <v>0</v>
      </c>
      <c r="O376" s="1947"/>
      <c r="P376" s="1941"/>
      <c r="Q376" s="2040"/>
      <c r="R376" s="2041"/>
      <c r="V376" s="1982">
        <f t="shared" ref="V376:W380" si="208">V377</f>
        <v>0</v>
      </c>
      <c r="W376" s="1982">
        <f t="shared" si="208"/>
        <v>0</v>
      </c>
      <c r="Y376" s="1"/>
      <c r="Z376" s="237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39" hidden="1" x14ac:dyDescent="0.25">
      <c r="A377" s="1505"/>
      <c r="B377" s="2049" t="s">
        <v>1015</v>
      </c>
      <c r="C377" s="1508"/>
      <c r="D377" s="1508"/>
      <c r="E377" s="1508"/>
      <c r="F377" s="2045" t="s">
        <v>1016</v>
      </c>
      <c r="G377" s="2046"/>
      <c r="H377" s="2046"/>
      <c r="I377" s="1508"/>
      <c r="J377" s="1087"/>
      <c r="K377" s="1064"/>
      <c r="L377" s="1064"/>
      <c r="M377" s="1563"/>
      <c r="N377" s="1986">
        <f>N378</f>
        <v>0</v>
      </c>
      <c r="O377" s="1947"/>
      <c r="P377" s="1941"/>
      <c r="Q377" s="2040"/>
      <c r="R377" s="2041"/>
      <c r="V377" s="1986">
        <f t="shared" si="208"/>
        <v>0</v>
      </c>
      <c r="W377" s="1986">
        <f t="shared" si="208"/>
        <v>0</v>
      </c>
      <c r="Y377" s="1"/>
      <c r="Z377" s="237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34.5" hidden="1" x14ac:dyDescent="0.25">
      <c r="A378" s="1505"/>
      <c r="B378" s="2050" t="s">
        <v>1017</v>
      </c>
      <c r="C378" s="1508"/>
      <c r="D378" s="1508"/>
      <c r="E378" s="1508"/>
      <c r="F378" s="2045" t="s">
        <v>1041</v>
      </c>
      <c r="G378" s="2046"/>
      <c r="H378" s="2046"/>
      <c r="I378" s="1508"/>
      <c r="J378" s="1087"/>
      <c r="K378" s="1064"/>
      <c r="L378" s="1064"/>
      <c r="M378" s="1563"/>
      <c r="N378" s="1986">
        <f>N379</f>
        <v>0</v>
      </c>
      <c r="O378" s="1947"/>
      <c r="P378" s="1941"/>
      <c r="Q378" s="2040"/>
      <c r="R378" s="2041"/>
      <c r="V378" s="1986">
        <f t="shared" si="208"/>
        <v>0</v>
      </c>
      <c r="W378" s="1986">
        <f t="shared" si="208"/>
        <v>0</v>
      </c>
      <c r="Y378" s="1"/>
      <c r="Z378" s="237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2" customFormat="1" ht="23" hidden="1" x14ac:dyDescent="0.25">
      <c r="A379" s="1505"/>
      <c r="B379" s="1515" t="s">
        <v>948</v>
      </c>
      <c r="C379" s="1508"/>
      <c r="D379" s="1508"/>
      <c r="E379" s="1508"/>
      <c r="F379" s="2045" t="s">
        <v>1041</v>
      </c>
      <c r="G379" s="2046" t="s">
        <v>955</v>
      </c>
      <c r="H379" s="2046"/>
      <c r="I379" s="1508"/>
      <c r="J379" s="1087"/>
      <c r="K379" s="1064"/>
      <c r="L379" s="1064"/>
      <c r="M379" s="1563"/>
      <c r="N379" s="1986">
        <f>N380</f>
        <v>0</v>
      </c>
      <c r="O379" s="1947"/>
      <c r="P379" s="1941"/>
      <c r="Q379" s="2040"/>
      <c r="R379" s="2041"/>
      <c r="V379" s="1986">
        <f t="shared" si="208"/>
        <v>0</v>
      </c>
      <c r="W379" s="1986">
        <f t="shared" si="208"/>
        <v>0</v>
      </c>
      <c r="Y379" s="1"/>
      <c r="Z379" s="237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23" hidden="1" x14ac:dyDescent="0.25">
      <c r="A380" s="1505"/>
      <c r="B380" s="1516" t="s">
        <v>454</v>
      </c>
      <c r="C380" s="1508"/>
      <c r="D380" s="1508"/>
      <c r="E380" s="1508"/>
      <c r="F380" s="2045" t="s">
        <v>1041</v>
      </c>
      <c r="G380" s="2046" t="s">
        <v>1</v>
      </c>
      <c r="H380" s="2046"/>
      <c r="I380" s="1508"/>
      <c r="J380" s="1087"/>
      <c r="K380" s="1064"/>
      <c r="L380" s="1064"/>
      <c r="M380" s="1563"/>
      <c r="N380" s="1986">
        <f>N381</f>
        <v>0</v>
      </c>
      <c r="O380" s="1947"/>
      <c r="P380" s="1941"/>
      <c r="Q380" s="2040"/>
      <c r="R380" s="2041"/>
      <c r="V380" s="1986">
        <f t="shared" si="208"/>
        <v>0</v>
      </c>
      <c r="W380" s="1986">
        <f t="shared" si="208"/>
        <v>0</v>
      </c>
      <c r="Y380" s="1"/>
      <c r="Z380" s="237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13" hidden="1" x14ac:dyDescent="0.3">
      <c r="A381" s="1505"/>
      <c r="B381" s="2051" t="s">
        <v>34</v>
      </c>
      <c r="C381" s="1508"/>
      <c r="D381" s="1508"/>
      <c r="E381" s="1508"/>
      <c r="F381" s="2045" t="s">
        <v>1041</v>
      </c>
      <c r="G381" s="2046" t="s">
        <v>1</v>
      </c>
      <c r="H381" s="2046" t="s">
        <v>463</v>
      </c>
      <c r="I381" s="1508" t="s">
        <v>495</v>
      </c>
      <c r="J381" s="1087"/>
      <c r="K381" s="1064"/>
      <c r="L381" s="1064"/>
      <c r="M381" s="1563"/>
      <c r="N381" s="1986"/>
      <c r="O381" s="1947"/>
      <c r="P381" s="1941"/>
      <c r="Q381" s="2040"/>
      <c r="R381" s="2041"/>
      <c r="V381" s="1986"/>
      <c r="W381" s="1986"/>
      <c r="Y381" s="1"/>
      <c r="Z381" s="237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44.5" customHeight="1" x14ac:dyDescent="0.25">
      <c r="A382" s="91">
        <v>9</v>
      </c>
      <c r="B382" s="135" t="s">
        <v>1059</v>
      </c>
      <c r="C382" s="1508"/>
      <c r="D382" s="1508"/>
      <c r="E382" s="1508"/>
      <c r="F382" s="2315" t="s">
        <v>468</v>
      </c>
      <c r="G382" s="2046"/>
      <c r="H382" s="2046"/>
      <c r="I382" s="1508"/>
      <c r="J382" s="1087"/>
      <c r="K382" s="1064"/>
      <c r="L382" s="1064"/>
      <c r="M382" s="1563"/>
      <c r="N382" s="1986">
        <f>N383</f>
        <v>3104.21</v>
      </c>
      <c r="O382" s="1947"/>
      <c r="P382" s="1941"/>
      <c r="Q382" s="2040"/>
      <c r="R382" s="2041"/>
      <c r="V382" s="1986">
        <f t="shared" ref="V382:W384" si="209">V383</f>
        <v>500</v>
      </c>
      <c r="W382" s="1986">
        <f t="shared" si="209"/>
        <v>500</v>
      </c>
      <c r="Y382" s="1"/>
      <c r="Z382" s="237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6.65" customHeight="1" x14ac:dyDescent="0.3">
      <c r="A383" s="1505"/>
      <c r="B383" s="2012" t="s">
        <v>1053</v>
      </c>
      <c r="C383" s="1508"/>
      <c r="D383" s="1508"/>
      <c r="E383" s="1508"/>
      <c r="F383" s="937" t="s">
        <v>857</v>
      </c>
      <c r="G383" s="2046"/>
      <c r="H383" s="2046"/>
      <c r="I383" s="1508"/>
      <c r="J383" s="1087"/>
      <c r="K383" s="1064"/>
      <c r="L383" s="1064"/>
      <c r="M383" s="1563"/>
      <c r="N383" s="1986">
        <f>N384</f>
        <v>3104.21</v>
      </c>
      <c r="O383" s="1947"/>
      <c r="P383" s="1941"/>
      <c r="Q383" s="2040"/>
      <c r="R383" s="2041"/>
      <c r="V383" s="1986">
        <f t="shared" si="209"/>
        <v>500</v>
      </c>
      <c r="W383" s="1986">
        <f t="shared" si="209"/>
        <v>500</v>
      </c>
      <c r="Y383" s="1"/>
      <c r="Z383" s="237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1" x14ac:dyDescent="0.25">
      <c r="A384" s="1505"/>
      <c r="B384" s="2316" t="s">
        <v>467</v>
      </c>
      <c r="C384" s="2317" t="s">
        <v>858</v>
      </c>
      <c r="D384" s="1508"/>
      <c r="E384" s="1508"/>
      <c r="F384" s="2318" t="s">
        <v>858</v>
      </c>
      <c r="G384" s="937"/>
      <c r="H384" s="937"/>
      <c r="I384" s="937"/>
      <c r="J384" s="1087"/>
      <c r="K384" s="1064"/>
      <c r="L384" s="1064"/>
      <c r="M384" s="1563"/>
      <c r="N384" s="1986">
        <f>N385</f>
        <v>3104.21</v>
      </c>
      <c r="O384" s="1947"/>
      <c r="P384" s="1941"/>
      <c r="Q384" s="2040"/>
      <c r="R384" s="2041"/>
      <c r="V384" s="1986">
        <f t="shared" si="209"/>
        <v>500</v>
      </c>
      <c r="W384" s="1986">
        <f t="shared" si="209"/>
        <v>500</v>
      </c>
      <c r="Y384" s="1"/>
      <c r="Z384" s="237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31" x14ac:dyDescent="0.25">
      <c r="A385" s="1505"/>
      <c r="B385" s="2316" t="s">
        <v>1054</v>
      </c>
      <c r="C385" s="2319" t="s">
        <v>1055</v>
      </c>
      <c r="D385" s="1508"/>
      <c r="E385" s="1508"/>
      <c r="F385" s="937" t="s">
        <v>1055</v>
      </c>
      <c r="G385" s="937"/>
      <c r="H385" s="937"/>
      <c r="I385" s="937"/>
      <c r="J385" s="1087"/>
      <c r="K385" s="1064"/>
      <c r="L385" s="1064"/>
      <c r="M385" s="1563"/>
      <c r="N385" s="1986">
        <f>N388</f>
        <v>3104.21</v>
      </c>
      <c r="O385" s="1947"/>
      <c r="P385" s="1941"/>
      <c r="Q385" s="2040"/>
      <c r="R385" s="2041"/>
      <c r="V385" s="1986">
        <f>V388</f>
        <v>500</v>
      </c>
      <c r="W385" s="1986">
        <f>W388</f>
        <v>500</v>
      </c>
      <c r="Y385" s="1"/>
      <c r="Z385" s="237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31" hidden="1" x14ac:dyDescent="0.25">
      <c r="A386" s="1505"/>
      <c r="B386" s="2320" t="s">
        <v>1048</v>
      </c>
      <c r="C386" s="2319" t="s">
        <v>1055</v>
      </c>
      <c r="D386" s="1508"/>
      <c r="E386" s="1508"/>
      <c r="F386" s="937" t="s">
        <v>1055</v>
      </c>
      <c r="G386" s="937" t="s">
        <v>955</v>
      </c>
      <c r="H386" s="932"/>
      <c r="I386" s="932"/>
      <c r="J386" s="1087"/>
      <c r="K386" s="1064"/>
      <c r="L386" s="1064"/>
      <c r="M386" s="1563"/>
      <c r="N386" s="1986"/>
      <c r="O386" s="1947"/>
      <c r="P386" s="1941"/>
      <c r="Q386" s="2040"/>
      <c r="R386" s="2041"/>
      <c r="V386" s="1986"/>
      <c r="W386" s="1986"/>
      <c r="Y386" s="1"/>
      <c r="Z386" s="237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26" x14ac:dyDescent="0.25">
      <c r="A387" s="1505"/>
      <c r="B387" s="49" t="s">
        <v>1048</v>
      </c>
      <c r="C387" s="2319"/>
      <c r="D387" s="1508"/>
      <c r="E387" s="1508"/>
      <c r="F387" s="937" t="s">
        <v>1055</v>
      </c>
      <c r="G387" s="937" t="s">
        <v>955</v>
      </c>
      <c r="H387" s="932"/>
      <c r="I387" s="932"/>
      <c r="J387" s="1087"/>
      <c r="K387" s="1064"/>
      <c r="L387" s="1064"/>
      <c r="M387" s="1563"/>
      <c r="N387" s="1986">
        <f>N388</f>
        <v>3104.21</v>
      </c>
      <c r="O387" s="1947"/>
      <c r="P387" s="1941"/>
      <c r="Q387" s="2040"/>
      <c r="R387" s="2041"/>
      <c r="V387" s="1986">
        <f t="shared" ref="V387:W387" si="210">V388</f>
        <v>500</v>
      </c>
      <c r="W387" s="1986">
        <f t="shared" si="210"/>
        <v>500</v>
      </c>
      <c r="Y387" s="1"/>
      <c r="Z387" s="237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25.5" customHeight="1" x14ac:dyDescent="0.25">
      <c r="A388" s="1505"/>
      <c r="B388" s="1544" t="s">
        <v>454</v>
      </c>
      <c r="C388" s="2319" t="s">
        <v>1055</v>
      </c>
      <c r="D388" s="1508"/>
      <c r="E388" s="1508"/>
      <c r="F388" s="937" t="s">
        <v>1055</v>
      </c>
      <c r="G388" s="937" t="s">
        <v>1</v>
      </c>
      <c r="H388" s="937"/>
      <c r="I388" s="932"/>
      <c r="J388" s="1087"/>
      <c r="K388" s="1064"/>
      <c r="L388" s="1064"/>
      <c r="M388" s="1563"/>
      <c r="N388" s="1986">
        <f>N389</f>
        <v>3104.21</v>
      </c>
      <c r="O388" s="1947"/>
      <c r="P388" s="1941"/>
      <c r="Q388" s="2040"/>
      <c r="R388" s="2041"/>
      <c r="V388" s="1986">
        <f>V389</f>
        <v>500</v>
      </c>
      <c r="W388" s="1986">
        <f>W389</f>
        <v>500</v>
      </c>
      <c r="Y388" s="1"/>
      <c r="Z388" s="23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16" customHeight="1" x14ac:dyDescent="0.3">
      <c r="A389" s="1505"/>
      <c r="B389" s="2012" t="s">
        <v>34</v>
      </c>
      <c r="C389" s="2319" t="s">
        <v>1055</v>
      </c>
      <c r="D389" s="1508"/>
      <c r="E389" s="1508"/>
      <c r="F389" s="937" t="s">
        <v>1055</v>
      </c>
      <c r="G389" s="937" t="s">
        <v>1</v>
      </c>
      <c r="H389" s="937" t="s">
        <v>463</v>
      </c>
      <c r="I389" s="937" t="s">
        <v>495</v>
      </c>
      <c r="J389" s="1087"/>
      <c r="K389" s="1064"/>
      <c r="L389" s="1064"/>
      <c r="M389" s="1563"/>
      <c r="N389" s="1986">
        <f>967.48+2136.73</f>
        <v>3104.21</v>
      </c>
      <c r="O389" s="1947"/>
      <c r="P389" s="1941"/>
      <c r="Q389" s="2040"/>
      <c r="R389" s="2041"/>
      <c r="V389" s="1986">
        <v>500</v>
      </c>
      <c r="W389" s="1986">
        <v>500</v>
      </c>
      <c r="Y389" s="1"/>
      <c r="Z389" s="23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40.5" customHeight="1" x14ac:dyDescent="0.3">
      <c r="A390" s="91">
        <v>10</v>
      </c>
      <c r="B390" s="2173" t="s">
        <v>1049</v>
      </c>
      <c r="C390" s="1508"/>
      <c r="D390" s="1508"/>
      <c r="E390" s="1508"/>
      <c r="F390" s="2315" t="s">
        <v>1045</v>
      </c>
      <c r="G390" s="2046"/>
      <c r="H390" s="2046"/>
      <c r="I390" s="1508"/>
      <c r="J390" s="1087"/>
      <c r="K390" s="1064"/>
      <c r="L390" s="1064"/>
      <c r="M390" s="1563"/>
      <c r="N390" s="1986">
        <f>N391</f>
        <v>943.25</v>
      </c>
      <c r="O390" s="1947"/>
      <c r="P390" s="1941"/>
      <c r="Q390" s="2040"/>
      <c r="R390" s="2041"/>
      <c r="V390" s="1986">
        <f t="shared" ref="V390:W394" si="211">V391</f>
        <v>300</v>
      </c>
      <c r="W390" s="1986">
        <f t="shared" si="211"/>
        <v>300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39" x14ac:dyDescent="0.3">
      <c r="A391" s="1505"/>
      <c r="B391" s="2012" t="s">
        <v>1050</v>
      </c>
      <c r="C391" s="1508"/>
      <c r="D391" s="1508"/>
      <c r="E391" s="1508"/>
      <c r="F391" s="937" t="s">
        <v>1046</v>
      </c>
      <c r="G391" s="2046"/>
      <c r="H391" s="2046"/>
      <c r="I391" s="1508"/>
      <c r="J391" s="1087"/>
      <c r="K391" s="1064"/>
      <c r="L391" s="1064"/>
      <c r="M391" s="1563"/>
      <c r="N391" s="1986">
        <f>N392</f>
        <v>943.25</v>
      </c>
      <c r="O391" s="1947"/>
      <c r="P391" s="1941"/>
      <c r="Q391" s="2040"/>
      <c r="R391" s="2041"/>
      <c r="V391" s="1986">
        <f t="shared" si="211"/>
        <v>300</v>
      </c>
      <c r="W391" s="1986">
        <f t="shared" si="211"/>
        <v>300</v>
      </c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9" x14ac:dyDescent="0.3">
      <c r="A392" s="1505"/>
      <c r="B392" s="2012" t="s">
        <v>1051</v>
      </c>
      <c r="C392" s="1508"/>
      <c r="D392" s="1508"/>
      <c r="E392" s="1508"/>
      <c r="F392" s="937" t="s">
        <v>1052</v>
      </c>
      <c r="G392" s="2046"/>
      <c r="H392" s="2046"/>
      <c r="I392" s="1508"/>
      <c r="J392" s="1087"/>
      <c r="K392" s="1064"/>
      <c r="L392" s="1064"/>
      <c r="M392" s="1563"/>
      <c r="N392" s="1986">
        <f>N393</f>
        <v>943.25</v>
      </c>
      <c r="O392" s="1947"/>
      <c r="P392" s="1941"/>
      <c r="Q392" s="2040"/>
      <c r="R392" s="2041"/>
      <c r="V392" s="1986">
        <f t="shared" si="211"/>
        <v>300</v>
      </c>
      <c r="W392" s="1986">
        <f t="shared" si="211"/>
        <v>300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26" x14ac:dyDescent="0.3">
      <c r="A393" s="1505"/>
      <c r="B393" s="2012" t="s">
        <v>1048</v>
      </c>
      <c r="C393" s="1508"/>
      <c r="D393" s="1508"/>
      <c r="E393" s="1508"/>
      <c r="F393" s="937" t="s">
        <v>1052</v>
      </c>
      <c r="G393" s="2045" t="s">
        <v>955</v>
      </c>
      <c r="H393" s="2046"/>
      <c r="I393" s="1508"/>
      <c r="J393" s="1087"/>
      <c r="K393" s="1064"/>
      <c r="L393" s="1064"/>
      <c r="M393" s="1563"/>
      <c r="N393" s="1986">
        <f>N394</f>
        <v>943.25</v>
      </c>
      <c r="O393" s="1947"/>
      <c r="P393" s="1941"/>
      <c r="Q393" s="2040"/>
      <c r="R393" s="2041"/>
      <c r="V393" s="1986">
        <f t="shared" si="211"/>
        <v>300</v>
      </c>
      <c r="W393" s="1986">
        <f t="shared" si="211"/>
        <v>300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26" x14ac:dyDescent="0.25">
      <c r="A394" s="1505"/>
      <c r="B394" s="1544" t="s">
        <v>454</v>
      </c>
      <c r="C394" s="1508"/>
      <c r="D394" s="1508"/>
      <c r="E394" s="1508"/>
      <c r="F394" s="937" t="s">
        <v>1052</v>
      </c>
      <c r="G394" s="2045" t="s">
        <v>1</v>
      </c>
      <c r="H394" s="2046"/>
      <c r="I394" s="1508"/>
      <c r="J394" s="1087"/>
      <c r="K394" s="1064"/>
      <c r="L394" s="1064"/>
      <c r="M394" s="1563"/>
      <c r="N394" s="1986">
        <f>N395</f>
        <v>943.25</v>
      </c>
      <c r="O394" s="1947"/>
      <c r="P394" s="1941"/>
      <c r="Q394" s="2040"/>
      <c r="R394" s="2041"/>
      <c r="V394" s="1986">
        <f t="shared" si="211"/>
        <v>300</v>
      </c>
      <c r="W394" s="1986">
        <f t="shared" si="211"/>
        <v>300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13" x14ac:dyDescent="0.3">
      <c r="A395" s="1505"/>
      <c r="B395" s="2012" t="s">
        <v>34</v>
      </c>
      <c r="C395" s="1508"/>
      <c r="D395" s="1508"/>
      <c r="E395" s="1508"/>
      <c r="F395" s="937" t="s">
        <v>1052</v>
      </c>
      <c r="G395" s="2045" t="s">
        <v>1</v>
      </c>
      <c r="H395" s="2045" t="s">
        <v>463</v>
      </c>
      <c r="I395" s="1508" t="s">
        <v>495</v>
      </c>
      <c r="J395" s="1087"/>
      <c r="K395" s="1064"/>
      <c r="L395" s="1064"/>
      <c r="M395" s="1563"/>
      <c r="N395" s="1986">
        <f>300+643.25</f>
        <v>943.25</v>
      </c>
      <c r="O395" s="1947"/>
      <c r="P395" s="1941"/>
      <c r="Q395" s="2040"/>
      <c r="R395" s="2041"/>
      <c r="V395" s="1986">
        <v>300</v>
      </c>
      <c r="W395" s="1986">
        <v>300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43.5" customHeight="1" x14ac:dyDescent="0.25">
      <c r="A396" s="1504">
        <v>11</v>
      </c>
      <c r="B396" s="2174" t="s">
        <v>1094</v>
      </c>
      <c r="C396" s="9"/>
      <c r="D396" s="9"/>
      <c r="E396" s="9"/>
      <c r="F396" s="1511" t="s">
        <v>952</v>
      </c>
      <c r="G396" s="1511"/>
      <c r="H396" s="1511"/>
      <c r="I396" s="1511"/>
      <c r="J396" s="1087"/>
      <c r="K396" s="1064"/>
      <c r="L396" s="1064"/>
      <c r="M396" s="1563"/>
      <c r="N396" s="1982">
        <f>N402+N397</f>
        <v>9888.89</v>
      </c>
      <c r="O396" s="1994"/>
      <c r="P396" s="1939"/>
      <c r="Q396" s="2036">
        <f>Q397+Q402</f>
        <v>1265</v>
      </c>
      <c r="R396" s="2037">
        <f>R397+R402</f>
        <v>1391.5</v>
      </c>
      <c r="V396" s="1982">
        <f>V402</f>
        <v>1500</v>
      </c>
      <c r="W396" s="1982">
        <f>W402</f>
        <v>1500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31.5" x14ac:dyDescent="0.25">
      <c r="A397" s="1505"/>
      <c r="B397" s="1873" t="s">
        <v>1134</v>
      </c>
      <c r="C397" s="9"/>
      <c r="D397" s="9"/>
      <c r="E397" s="9"/>
      <c r="F397" s="532" t="s">
        <v>1131</v>
      </c>
      <c r="G397" s="1513"/>
      <c r="H397" s="1513"/>
      <c r="I397" s="1513"/>
      <c r="J397" s="1087"/>
      <c r="K397" s="1064"/>
      <c r="L397" s="1064"/>
      <c r="M397" s="1563"/>
      <c r="N397" s="1986">
        <f>N398</f>
        <v>777.77800000000002</v>
      </c>
      <c r="O397" s="1947"/>
      <c r="P397" s="1941"/>
      <c r="Q397" s="2040">
        <f t="shared" ref="Q397:R400" si="212">Q398</f>
        <v>0</v>
      </c>
      <c r="R397" s="2041">
        <f t="shared" si="212"/>
        <v>0</v>
      </c>
      <c r="V397" s="1986"/>
      <c r="W397" s="1986"/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34.5" x14ac:dyDescent="0.25">
      <c r="A398" s="1505"/>
      <c r="B398" s="2053" t="s">
        <v>1133</v>
      </c>
      <c r="C398" s="9"/>
      <c r="D398" s="9"/>
      <c r="E398" s="9"/>
      <c r="F398" s="532" t="s">
        <v>1132</v>
      </c>
      <c r="G398" s="2054"/>
      <c r="H398" s="2054"/>
      <c r="I398" s="2054"/>
      <c r="J398" s="1087"/>
      <c r="K398" s="1064"/>
      <c r="L398" s="1064"/>
      <c r="M398" s="1563"/>
      <c r="N398" s="1986">
        <f>N399</f>
        <v>777.77800000000002</v>
      </c>
      <c r="O398" s="1947"/>
      <c r="P398" s="1941"/>
      <c r="Q398" s="2040">
        <f t="shared" si="212"/>
        <v>0</v>
      </c>
      <c r="R398" s="2041">
        <f t="shared" si="212"/>
        <v>0</v>
      </c>
      <c r="V398" s="1986"/>
      <c r="W398" s="1986"/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23" x14ac:dyDescent="0.25">
      <c r="A399" s="1505"/>
      <c r="B399" s="1515" t="s">
        <v>948</v>
      </c>
      <c r="C399" s="9"/>
      <c r="D399" s="9"/>
      <c r="E399" s="9"/>
      <c r="F399" s="532" t="s">
        <v>1132</v>
      </c>
      <c r="G399" s="2054" t="s">
        <v>955</v>
      </c>
      <c r="H399" s="2054"/>
      <c r="I399" s="2054"/>
      <c r="J399" s="1087"/>
      <c r="K399" s="1064"/>
      <c r="L399" s="1064"/>
      <c r="M399" s="1563"/>
      <c r="N399" s="1986">
        <f>N400</f>
        <v>777.77800000000002</v>
      </c>
      <c r="O399" s="1947"/>
      <c r="P399" s="1941"/>
      <c r="Q399" s="2040">
        <f t="shared" si="212"/>
        <v>0</v>
      </c>
      <c r="R399" s="2041">
        <f t="shared" si="212"/>
        <v>0</v>
      </c>
      <c r="V399" s="1986"/>
      <c r="W399" s="1986"/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23" x14ac:dyDescent="0.25">
      <c r="A400" s="1505"/>
      <c r="B400" s="1516" t="s">
        <v>454</v>
      </c>
      <c r="C400" s="9"/>
      <c r="D400" s="9"/>
      <c r="E400" s="9"/>
      <c r="F400" s="532" t="s">
        <v>1132</v>
      </c>
      <c r="G400" s="1517" t="s">
        <v>1</v>
      </c>
      <c r="H400" s="2054"/>
      <c r="I400" s="2054"/>
      <c r="J400" s="1087"/>
      <c r="K400" s="1064"/>
      <c r="L400" s="1064"/>
      <c r="M400" s="1563"/>
      <c r="N400" s="1986">
        <f>N401</f>
        <v>777.77800000000002</v>
      </c>
      <c r="O400" s="1947"/>
      <c r="P400" s="1941"/>
      <c r="Q400" s="2040">
        <f t="shared" si="212"/>
        <v>0</v>
      </c>
      <c r="R400" s="2041">
        <f t="shared" si="212"/>
        <v>0</v>
      </c>
      <c r="V400" s="1986"/>
      <c r="W400" s="1986"/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13" x14ac:dyDescent="0.25">
      <c r="A401" s="1505"/>
      <c r="B401" s="1516" t="s">
        <v>34</v>
      </c>
      <c r="C401" s="9"/>
      <c r="D401" s="9"/>
      <c r="E401" s="9"/>
      <c r="F401" s="532" t="s">
        <v>1132</v>
      </c>
      <c r="G401" s="1517" t="s">
        <v>1</v>
      </c>
      <c r="H401" s="2054" t="s">
        <v>463</v>
      </c>
      <c r="I401" s="2054" t="s">
        <v>495</v>
      </c>
      <c r="J401" s="1087"/>
      <c r="K401" s="1064"/>
      <c r="L401" s="1064"/>
      <c r="M401" s="1563"/>
      <c r="N401" s="1986">
        <v>777.77800000000002</v>
      </c>
      <c r="O401" s="1947"/>
      <c r="P401" s="1941"/>
      <c r="Q401" s="2040"/>
      <c r="R401" s="2041"/>
      <c r="V401" s="1986"/>
      <c r="W401" s="1986"/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13" x14ac:dyDescent="0.25">
      <c r="A402" s="1505"/>
      <c r="B402" s="2009" t="s">
        <v>1019</v>
      </c>
      <c r="C402" s="9"/>
      <c r="D402" s="9"/>
      <c r="E402" s="9"/>
      <c r="F402" s="532" t="s">
        <v>1020</v>
      </c>
      <c r="G402" s="1513"/>
      <c r="H402" s="1513"/>
      <c r="I402" s="1513"/>
      <c r="J402" s="1087"/>
      <c r="K402" s="1064"/>
      <c r="L402" s="1064"/>
      <c r="M402" s="1563"/>
      <c r="N402" s="1986">
        <f>N403</f>
        <v>9111.1119999999992</v>
      </c>
      <c r="O402" s="1947"/>
      <c r="P402" s="1941"/>
      <c r="Q402" s="2040">
        <f>Q403</f>
        <v>1265</v>
      </c>
      <c r="R402" s="2041">
        <f>R403</f>
        <v>1391.5</v>
      </c>
      <c r="V402" s="1986">
        <f>V403</f>
        <v>1500</v>
      </c>
      <c r="W402" s="1986">
        <f>W403</f>
        <v>1500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13" x14ac:dyDescent="0.25">
      <c r="A403" s="1505"/>
      <c r="B403" s="724" t="s">
        <v>1021</v>
      </c>
      <c r="C403" s="9"/>
      <c r="D403" s="9"/>
      <c r="E403" s="9"/>
      <c r="F403" s="2038" t="s">
        <v>1022</v>
      </c>
      <c r="G403" s="2054"/>
      <c r="H403" s="2054"/>
      <c r="I403" s="2054"/>
      <c r="J403" s="1087"/>
      <c r="K403" s="1064"/>
      <c r="L403" s="1064"/>
      <c r="M403" s="1563"/>
      <c r="N403" s="1986">
        <f t="shared" si="206"/>
        <v>9111.1119999999992</v>
      </c>
      <c r="O403" s="1947"/>
      <c r="P403" s="1941"/>
      <c r="Q403" s="2040">
        <f t="shared" ref="Q403:R405" si="213">Q404</f>
        <v>1265</v>
      </c>
      <c r="R403" s="2041">
        <f t="shared" si="213"/>
        <v>1391.5</v>
      </c>
      <c r="V403" s="1986">
        <f t="shared" si="207"/>
        <v>1500</v>
      </c>
      <c r="W403" s="1986">
        <f t="shared" si="207"/>
        <v>1500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26" x14ac:dyDescent="0.25">
      <c r="A404" s="1505"/>
      <c r="B404" s="724" t="s">
        <v>948</v>
      </c>
      <c r="C404" s="9"/>
      <c r="D404" s="9"/>
      <c r="E404" s="9"/>
      <c r="F404" s="2038" t="s">
        <v>1022</v>
      </c>
      <c r="G404" s="2038" t="s">
        <v>955</v>
      </c>
      <c r="H404" s="2038"/>
      <c r="I404" s="2038"/>
      <c r="J404" s="1087"/>
      <c r="K404" s="1064"/>
      <c r="L404" s="1064"/>
      <c r="M404" s="1563"/>
      <c r="N404" s="1986">
        <f t="shared" si="206"/>
        <v>9111.1119999999992</v>
      </c>
      <c r="O404" s="1947"/>
      <c r="P404" s="1941"/>
      <c r="Q404" s="2040">
        <f t="shared" si="213"/>
        <v>1265</v>
      </c>
      <c r="R404" s="2041">
        <f t="shared" si="213"/>
        <v>1391.5</v>
      </c>
      <c r="V404" s="1986">
        <f t="shared" si="207"/>
        <v>1500</v>
      </c>
      <c r="W404" s="1986">
        <f t="shared" si="207"/>
        <v>1500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26" x14ac:dyDescent="0.25">
      <c r="A405" s="1505"/>
      <c r="B405" s="1544" t="s">
        <v>454</v>
      </c>
      <c r="C405" s="9"/>
      <c r="D405" s="9"/>
      <c r="E405" s="9"/>
      <c r="F405" s="2038" t="s">
        <v>1022</v>
      </c>
      <c r="G405" s="532" t="s">
        <v>1</v>
      </c>
      <c r="H405" s="2038"/>
      <c r="I405" s="2038"/>
      <c r="J405" s="1087"/>
      <c r="K405" s="1064"/>
      <c r="L405" s="1064"/>
      <c r="M405" s="1563"/>
      <c r="N405" s="1986">
        <f t="shared" si="206"/>
        <v>9111.1119999999992</v>
      </c>
      <c r="O405" s="1947"/>
      <c r="P405" s="1941"/>
      <c r="Q405" s="2040">
        <f t="shared" si="213"/>
        <v>1265</v>
      </c>
      <c r="R405" s="2041">
        <f t="shared" si="213"/>
        <v>1391.5</v>
      </c>
      <c r="V405" s="1986">
        <f t="shared" si="207"/>
        <v>1500</v>
      </c>
      <c r="W405" s="1986">
        <f t="shared" si="207"/>
        <v>1500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13" x14ac:dyDescent="0.25">
      <c r="A406" s="1505"/>
      <c r="B406" s="534" t="s">
        <v>34</v>
      </c>
      <c r="C406" s="9"/>
      <c r="D406" s="9"/>
      <c r="E406" s="9"/>
      <c r="F406" s="2038" t="s">
        <v>1022</v>
      </c>
      <c r="G406" s="532" t="s">
        <v>1</v>
      </c>
      <c r="H406" s="2038" t="s">
        <v>463</v>
      </c>
      <c r="I406" s="2038" t="s">
        <v>495</v>
      </c>
      <c r="J406" s="1087"/>
      <c r="K406" s="1064"/>
      <c r="L406" s="1064"/>
      <c r="M406" s="1563"/>
      <c r="N406" s="1986">
        <f>210+899.55+8000+1.562</f>
        <v>9111.1119999999992</v>
      </c>
      <c r="O406" s="1947"/>
      <c r="P406" s="1941"/>
      <c r="Q406" s="2040">
        <f>385+880</f>
        <v>1265</v>
      </c>
      <c r="R406" s="2041">
        <f>423.5+968</f>
        <v>1391.5</v>
      </c>
      <c r="V406" s="1986">
        <f>750+750</f>
        <v>1500</v>
      </c>
      <c r="W406" s="1986">
        <f>750+750</f>
        <v>1500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13" hidden="1" x14ac:dyDescent="0.3">
      <c r="A407" s="32"/>
      <c r="B407" s="2055"/>
      <c r="C407" s="142"/>
      <c r="D407" s="142"/>
      <c r="E407" s="142"/>
      <c r="F407" s="142"/>
      <c r="G407" s="142"/>
      <c r="H407" s="142"/>
      <c r="I407" s="142"/>
      <c r="J407" s="1061"/>
      <c r="K407" s="1064"/>
      <c r="L407" s="1064"/>
      <c r="M407" s="1563"/>
      <c r="N407" s="1986"/>
      <c r="O407" s="1947"/>
      <c r="P407" s="1941"/>
      <c r="Q407" s="1987"/>
      <c r="R407" s="1988"/>
      <c r="V407" s="1986"/>
      <c r="W407" s="1986"/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13" hidden="1" x14ac:dyDescent="0.3">
      <c r="A408" s="32"/>
      <c r="B408" s="2056"/>
      <c r="C408" s="9"/>
      <c r="D408" s="9"/>
      <c r="E408" s="9"/>
      <c r="F408" s="9"/>
      <c r="G408" s="9"/>
      <c r="H408" s="9"/>
      <c r="I408" s="9"/>
      <c r="J408" s="1061"/>
      <c r="K408" s="1064"/>
      <c r="L408" s="1064"/>
      <c r="M408" s="1563"/>
      <c r="N408" s="1986"/>
      <c r="O408" s="1947"/>
      <c r="P408" s="1941"/>
      <c r="Q408" s="1987"/>
      <c r="R408" s="1988"/>
      <c r="V408" s="1986"/>
      <c r="W408" s="1986"/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13" hidden="1" x14ac:dyDescent="0.3">
      <c r="A409" s="32"/>
      <c r="B409" s="2056"/>
      <c r="C409" s="9"/>
      <c r="D409" s="9"/>
      <c r="E409" s="9"/>
      <c r="F409" s="9"/>
      <c r="G409" s="9"/>
      <c r="H409" s="9"/>
      <c r="I409" s="9"/>
      <c r="J409" s="1061"/>
      <c r="K409" s="1064"/>
      <c r="L409" s="1064"/>
      <c r="M409" s="1563"/>
      <c r="N409" s="1986"/>
      <c r="O409" s="1947"/>
      <c r="P409" s="1941"/>
      <c r="Q409" s="1987"/>
      <c r="R409" s="1988"/>
      <c r="V409" s="1986"/>
      <c r="W409" s="1986"/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55.15" hidden="1" customHeight="1" x14ac:dyDescent="0.25">
      <c r="A410" s="91">
        <v>9</v>
      </c>
      <c r="B410" s="134" t="s">
        <v>176</v>
      </c>
      <c r="C410" s="34"/>
      <c r="D410" s="94" t="s">
        <v>15</v>
      </c>
      <c r="E410" s="34" t="s">
        <v>32</v>
      </c>
      <c r="F410" s="34" t="s">
        <v>175</v>
      </c>
      <c r="G410" s="131"/>
      <c r="H410" s="131"/>
      <c r="I410" s="34"/>
      <c r="J410" s="51">
        <f>J411</f>
        <v>3000</v>
      </c>
      <c r="K410" s="51"/>
      <c r="L410" s="51">
        <f>L412</f>
        <v>6008.35</v>
      </c>
      <c r="M410" s="1553">
        <f>M412</f>
        <v>8515.7049999999999</v>
      </c>
      <c r="N410" s="1982">
        <f t="shared" ref="N410:R412" si="214">N411</f>
        <v>0</v>
      </c>
      <c r="O410" s="1958">
        <f t="shared" si="214"/>
        <v>3500</v>
      </c>
      <c r="P410" s="1944">
        <f t="shared" si="214"/>
        <v>3500</v>
      </c>
      <c r="Q410" s="1996">
        <f t="shared" si="214"/>
        <v>0</v>
      </c>
      <c r="R410" s="1997">
        <f t="shared" si="214"/>
        <v>0</v>
      </c>
      <c r="V410" s="1982">
        <f t="shared" ref="V410:W412" si="215">V411</f>
        <v>0</v>
      </c>
      <c r="W410" s="1982">
        <f t="shared" si="215"/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39" hidden="1" x14ac:dyDescent="0.25">
      <c r="A411" s="91"/>
      <c r="B411" s="1098" t="s">
        <v>174</v>
      </c>
      <c r="C411" s="34"/>
      <c r="D411" s="94"/>
      <c r="E411" s="34"/>
      <c r="F411" s="9" t="s">
        <v>173</v>
      </c>
      <c r="G411" s="48"/>
      <c r="H411" s="48"/>
      <c r="I411" s="9"/>
      <c r="J411" s="47">
        <f>J412</f>
        <v>3000</v>
      </c>
      <c r="K411" s="51"/>
      <c r="L411" s="51"/>
      <c r="M411" s="1553"/>
      <c r="N411" s="1986">
        <f t="shared" si="214"/>
        <v>0</v>
      </c>
      <c r="O411" s="2027">
        <f t="shared" si="214"/>
        <v>3500</v>
      </c>
      <c r="P411" s="1950">
        <f t="shared" si="214"/>
        <v>3500</v>
      </c>
      <c r="Q411" s="2028">
        <f t="shared" si="214"/>
        <v>0</v>
      </c>
      <c r="R411" s="2029">
        <f t="shared" si="214"/>
        <v>0</v>
      </c>
      <c r="V411" s="1986">
        <f t="shared" si="215"/>
        <v>0</v>
      </c>
      <c r="W411" s="1986">
        <f t="shared" si="215"/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13" hidden="1" x14ac:dyDescent="0.25">
      <c r="A412" s="32"/>
      <c r="B412" s="133" t="s">
        <v>172</v>
      </c>
      <c r="C412" s="9"/>
      <c r="D412" s="88" t="s">
        <v>15</v>
      </c>
      <c r="E412" s="9" t="s">
        <v>32</v>
      </c>
      <c r="F412" s="9" t="s">
        <v>159</v>
      </c>
      <c r="G412" s="9"/>
      <c r="H412" s="9"/>
      <c r="I412" s="9"/>
      <c r="J412" s="1061">
        <f>J413</f>
        <v>3000</v>
      </c>
      <c r="K412" s="1065"/>
      <c r="L412" s="1064">
        <f>L413</f>
        <v>6008.35</v>
      </c>
      <c r="M412" s="1563">
        <f>M413</f>
        <v>8515.7049999999999</v>
      </c>
      <c r="N412" s="1986">
        <f t="shared" si="214"/>
        <v>0</v>
      </c>
      <c r="O412" s="1947">
        <f t="shared" si="214"/>
        <v>3500</v>
      </c>
      <c r="P412" s="1941">
        <f t="shared" si="214"/>
        <v>3500</v>
      </c>
      <c r="Q412" s="1987">
        <f t="shared" si="214"/>
        <v>0</v>
      </c>
      <c r="R412" s="1988">
        <f t="shared" si="214"/>
        <v>0</v>
      </c>
      <c r="V412" s="1986">
        <f t="shared" si="215"/>
        <v>0</v>
      </c>
      <c r="W412" s="1986">
        <f t="shared" si="215"/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12.65" hidden="1" customHeight="1" x14ac:dyDescent="0.3">
      <c r="A413" s="32"/>
      <c r="B413" s="2003" t="s">
        <v>16</v>
      </c>
      <c r="C413" s="9"/>
      <c r="D413" s="88" t="s">
        <v>15</v>
      </c>
      <c r="E413" s="9" t="s">
        <v>32</v>
      </c>
      <c r="F413" s="9" t="s">
        <v>159</v>
      </c>
      <c r="G413" s="9" t="s">
        <v>1</v>
      </c>
      <c r="H413" s="9"/>
      <c r="I413" s="9"/>
      <c r="J413" s="1061">
        <f>J419</f>
        <v>3000</v>
      </c>
      <c r="K413" s="1065"/>
      <c r="L413" s="1064">
        <v>6008.35</v>
      </c>
      <c r="M413" s="1563">
        <v>8515.7049999999999</v>
      </c>
      <c r="N413" s="1986">
        <f>N419</f>
        <v>0</v>
      </c>
      <c r="O413" s="1947">
        <f>O419</f>
        <v>3500</v>
      </c>
      <c r="P413" s="1941">
        <f>P419</f>
        <v>3500</v>
      </c>
      <c r="Q413" s="1987">
        <f>Q419</f>
        <v>0</v>
      </c>
      <c r="R413" s="1988">
        <f>R419</f>
        <v>0</v>
      </c>
      <c r="V413" s="1986">
        <f>V419</f>
        <v>0</v>
      </c>
      <c r="W413" s="1986">
        <f>W419</f>
        <v>0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44.25" hidden="1" customHeight="1" x14ac:dyDescent="0.25">
      <c r="A414" s="32"/>
      <c r="B414" s="52" t="s">
        <v>171</v>
      </c>
      <c r="C414" s="9"/>
      <c r="D414" s="34" t="s">
        <v>168</v>
      </c>
      <c r="E414" s="34" t="s">
        <v>166</v>
      </c>
      <c r="F414" s="34" t="s">
        <v>170</v>
      </c>
      <c r="G414" s="131"/>
      <c r="H414" s="131"/>
      <c r="I414" s="34" t="s">
        <v>166</v>
      </c>
      <c r="J414" s="48"/>
      <c r="K414" s="131"/>
      <c r="M414" s="1564"/>
      <c r="N414" s="1986"/>
      <c r="O414" s="2027"/>
      <c r="P414" s="1950"/>
      <c r="Q414" s="2028"/>
      <c r="R414" s="2029"/>
      <c r="V414" s="1986"/>
      <c r="W414" s="1986"/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ht="39" hidden="1" x14ac:dyDescent="0.25">
      <c r="A415" s="32"/>
      <c r="B415" s="49" t="s">
        <v>169</v>
      </c>
      <c r="C415" s="9"/>
      <c r="D415" s="9" t="s">
        <v>168</v>
      </c>
      <c r="E415" s="9" t="s">
        <v>166</v>
      </c>
      <c r="F415" s="9" t="s">
        <v>167</v>
      </c>
      <c r="G415" s="88"/>
      <c r="H415" s="88"/>
      <c r="I415" s="9" t="s">
        <v>166</v>
      </c>
      <c r="J415" s="1063"/>
      <c r="K415" s="1063"/>
      <c r="L415" s="1063"/>
      <c r="M415" s="1125"/>
      <c r="N415" s="1986"/>
      <c r="O415" s="1947"/>
      <c r="P415" s="1941"/>
      <c r="Q415" s="1987"/>
      <c r="R415" s="1988"/>
      <c r="V415" s="1986"/>
      <c r="W415" s="1986"/>
    </row>
    <row r="416" spans="1:256" ht="42.75" hidden="1" customHeight="1" x14ac:dyDescent="0.25">
      <c r="A416" s="32"/>
      <c r="B416" s="132" t="s">
        <v>165</v>
      </c>
      <c r="C416" s="34"/>
      <c r="D416" s="94" t="s">
        <v>15</v>
      </c>
      <c r="E416" s="34" t="s">
        <v>13</v>
      </c>
      <c r="F416" s="34" t="s">
        <v>164</v>
      </c>
      <c r="G416" s="131"/>
      <c r="H416" s="131"/>
      <c r="I416" s="34" t="s">
        <v>13</v>
      </c>
      <c r="J416" s="48"/>
      <c r="K416" s="130"/>
      <c r="L416" s="2"/>
      <c r="M416" s="1554"/>
      <c r="N416" s="1986"/>
      <c r="O416" s="2027"/>
      <c r="P416" s="1950"/>
      <c r="Q416" s="2028"/>
      <c r="R416" s="2029"/>
      <c r="V416" s="1986"/>
      <c r="W416" s="1986"/>
    </row>
    <row r="417" spans="1:256" ht="72.75" hidden="1" customHeight="1" x14ac:dyDescent="0.25">
      <c r="A417" s="32"/>
      <c r="B417" s="49" t="s">
        <v>163</v>
      </c>
      <c r="C417" s="9"/>
      <c r="D417" s="88" t="s">
        <v>15</v>
      </c>
      <c r="E417" s="9" t="s">
        <v>13</v>
      </c>
      <c r="F417" s="9" t="s">
        <v>162</v>
      </c>
      <c r="G417" s="9"/>
      <c r="H417" s="9"/>
      <c r="I417" s="9" t="s">
        <v>13</v>
      </c>
      <c r="J417" s="1063"/>
      <c r="K417" s="1065"/>
      <c r="L417" s="1065"/>
      <c r="M417" s="1552"/>
      <c r="N417" s="1986"/>
      <c r="O417" s="1947"/>
      <c r="P417" s="1941"/>
      <c r="Q417" s="1987"/>
      <c r="R417" s="1988"/>
      <c r="V417" s="1986"/>
      <c r="W417" s="1986"/>
    </row>
    <row r="418" spans="1:256" s="2" customFormat="1" ht="57" hidden="1" customHeight="1" x14ac:dyDescent="0.25">
      <c r="A418" s="32"/>
      <c r="B418" s="58" t="s">
        <v>161</v>
      </c>
      <c r="C418" s="34"/>
      <c r="D418" s="88" t="s">
        <v>15</v>
      </c>
      <c r="E418" s="9" t="s">
        <v>13</v>
      </c>
      <c r="F418" s="9" t="s">
        <v>160</v>
      </c>
      <c r="G418" s="9"/>
      <c r="H418" s="9"/>
      <c r="I418" s="9" t="s">
        <v>13</v>
      </c>
      <c r="J418" s="1063"/>
      <c r="K418" s="1065"/>
      <c r="L418" s="1065"/>
      <c r="M418" s="1552"/>
      <c r="N418" s="1986"/>
      <c r="O418" s="1947"/>
      <c r="P418" s="1941"/>
      <c r="Q418" s="1987"/>
      <c r="R418" s="1988"/>
      <c r="V418" s="1986"/>
      <c r="W418" s="1986"/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13" hidden="1" x14ac:dyDescent="0.3">
      <c r="A419" s="32"/>
      <c r="B419" s="744" t="s">
        <v>34</v>
      </c>
      <c r="C419" s="9"/>
      <c r="D419" s="88" t="s">
        <v>15</v>
      </c>
      <c r="E419" s="9" t="s">
        <v>32</v>
      </c>
      <c r="F419" s="9" t="s">
        <v>159</v>
      </c>
      <c r="G419" s="9" t="s">
        <v>1</v>
      </c>
      <c r="H419" s="9" t="s">
        <v>463</v>
      </c>
      <c r="I419" s="9" t="s">
        <v>495</v>
      </c>
      <c r="J419" s="1061">
        <v>3000</v>
      </c>
      <c r="K419" s="1065"/>
      <c r="L419" s="1064">
        <v>6008.35</v>
      </c>
      <c r="M419" s="1563">
        <v>8515.7049999999999</v>
      </c>
      <c r="N419" s="1986"/>
      <c r="O419" s="1947">
        <v>3500</v>
      </c>
      <c r="P419" s="1941">
        <v>3500</v>
      </c>
      <c r="Q419" s="1987"/>
      <c r="R419" s="1988"/>
      <c r="V419" s="1986"/>
      <c r="W419" s="1986"/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52" x14ac:dyDescent="0.25">
      <c r="A420" s="1504">
        <v>12</v>
      </c>
      <c r="B420" s="2174" t="s">
        <v>1067</v>
      </c>
      <c r="C420" s="1508"/>
      <c r="D420" s="1508"/>
      <c r="E420" s="1508"/>
      <c r="F420" s="2048" t="s">
        <v>1014</v>
      </c>
      <c r="G420" s="2046"/>
      <c r="H420" s="2046"/>
      <c r="I420" s="1508"/>
      <c r="J420" s="1087"/>
      <c r="K420" s="1064"/>
      <c r="L420" s="1064"/>
      <c r="M420" s="1563"/>
      <c r="N420" s="1982">
        <f>N421</f>
        <v>426.73699999999997</v>
      </c>
      <c r="O420" s="1947"/>
      <c r="P420" s="1941"/>
      <c r="Q420" s="2057"/>
      <c r="R420" s="1988"/>
      <c r="V420" s="1982">
        <f t="shared" ref="V420:W424" si="216">V421</f>
        <v>150</v>
      </c>
      <c r="W420" s="1982">
        <f t="shared" si="216"/>
        <v>150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13" x14ac:dyDescent="0.25">
      <c r="A421" s="1505"/>
      <c r="B421" s="2067" t="s">
        <v>1023</v>
      </c>
      <c r="C421" s="1508"/>
      <c r="D421" s="1508"/>
      <c r="E421" s="1508"/>
      <c r="F421" s="2045" t="s">
        <v>1016</v>
      </c>
      <c r="G421" s="2046"/>
      <c r="H421" s="2046"/>
      <c r="I421" s="1508"/>
      <c r="J421" s="1087"/>
      <c r="K421" s="1064"/>
      <c r="L421" s="1064"/>
      <c r="M421" s="1563"/>
      <c r="N421" s="1986">
        <f>N422</f>
        <v>426.73699999999997</v>
      </c>
      <c r="O421" s="1947"/>
      <c r="P421" s="1941"/>
      <c r="Q421" s="2057"/>
      <c r="R421" s="1988"/>
      <c r="V421" s="1986">
        <f t="shared" si="216"/>
        <v>150</v>
      </c>
      <c r="W421" s="1986">
        <f t="shared" si="216"/>
        <v>150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9" x14ac:dyDescent="0.25">
      <c r="A422" s="1505"/>
      <c r="B422" s="2067" t="s">
        <v>1024</v>
      </c>
      <c r="C422" s="1508"/>
      <c r="D422" s="1508"/>
      <c r="E422" s="1508"/>
      <c r="F422" s="2045" t="s">
        <v>1018</v>
      </c>
      <c r="G422" s="2046"/>
      <c r="H422" s="2046"/>
      <c r="I422" s="1508"/>
      <c r="J422" s="1087"/>
      <c r="K422" s="1064"/>
      <c r="L422" s="1064"/>
      <c r="M422" s="1563"/>
      <c r="N422" s="1986">
        <f>N423</f>
        <v>426.73699999999997</v>
      </c>
      <c r="O422" s="1947"/>
      <c r="P422" s="1941"/>
      <c r="Q422" s="2057"/>
      <c r="R422" s="1988"/>
      <c r="V422" s="1986">
        <f t="shared" si="216"/>
        <v>150</v>
      </c>
      <c r="W422" s="1986">
        <f t="shared" si="216"/>
        <v>150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6" x14ac:dyDescent="0.25">
      <c r="A423" s="1505"/>
      <c r="B423" s="724" t="s">
        <v>948</v>
      </c>
      <c r="C423" s="1508"/>
      <c r="D423" s="1508"/>
      <c r="E423" s="1508"/>
      <c r="F423" s="2045" t="s">
        <v>1018</v>
      </c>
      <c r="G423" s="2045" t="s">
        <v>955</v>
      </c>
      <c r="H423" s="2045"/>
      <c r="I423" s="1508"/>
      <c r="J423" s="1087"/>
      <c r="K423" s="1064"/>
      <c r="L423" s="1064"/>
      <c r="M423" s="1563"/>
      <c r="N423" s="1986">
        <f>N424</f>
        <v>426.73699999999997</v>
      </c>
      <c r="O423" s="1947"/>
      <c r="P423" s="1941"/>
      <c r="Q423" s="2057"/>
      <c r="R423" s="1988"/>
      <c r="V423" s="1986">
        <f t="shared" si="216"/>
        <v>150</v>
      </c>
      <c r="W423" s="1986">
        <f t="shared" si="216"/>
        <v>150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26" x14ac:dyDescent="0.25">
      <c r="A424" s="1505"/>
      <c r="B424" s="1544" t="s">
        <v>454</v>
      </c>
      <c r="C424" s="1508"/>
      <c r="D424" s="1508"/>
      <c r="E424" s="1508"/>
      <c r="F424" s="2045" t="s">
        <v>1018</v>
      </c>
      <c r="G424" s="2045" t="s">
        <v>1</v>
      </c>
      <c r="H424" s="2045"/>
      <c r="I424" s="1508"/>
      <c r="J424" s="1087"/>
      <c r="K424" s="1064"/>
      <c r="L424" s="1064"/>
      <c r="M424" s="1563"/>
      <c r="N424" s="1986">
        <f>N425</f>
        <v>426.73699999999997</v>
      </c>
      <c r="O424" s="1947"/>
      <c r="P424" s="1941"/>
      <c r="Q424" s="2057"/>
      <c r="R424" s="1988"/>
      <c r="V424" s="1986">
        <f t="shared" si="216"/>
        <v>150</v>
      </c>
      <c r="W424" s="1986">
        <f t="shared" si="216"/>
        <v>150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13" x14ac:dyDescent="0.25">
      <c r="A425" s="1505"/>
      <c r="B425" s="534" t="s">
        <v>34</v>
      </c>
      <c r="C425" s="1508"/>
      <c r="D425" s="1508"/>
      <c r="E425" s="1508"/>
      <c r="F425" s="2045" t="s">
        <v>1018</v>
      </c>
      <c r="G425" s="2045" t="s">
        <v>1</v>
      </c>
      <c r="H425" s="2045" t="s">
        <v>463</v>
      </c>
      <c r="I425" s="1508" t="s">
        <v>495</v>
      </c>
      <c r="J425" s="1087"/>
      <c r="K425" s="1064"/>
      <c r="L425" s="1064"/>
      <c r="M425" s="1563"/>
      <c r="N425" s="1986">
        <f>21.337+405.4</f>
        <v>426.73699999999997</v>
      </c>
      <c r="O425" s="1947"/>
      <c r="P425" s="1941"/>
      <c r="Q425" s="2057"/>
      <c r="R425" s="1988"/>
      <c r="V425" s="1986">
        <f>150</f>
        <v>150</v>
      </c>
      <c r="W425" s="1986">
        <f>150</f>
        <v>150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2.15" hidden="1" customHeight="1" x14ac:dyDescent="0.25">
      <c r="A426" s="1504">
        <v>13</v>
      </c>
      <c r="B426" s="2174" t="s">
        <v>1095</v>
      </c>
      <c r="C426" s="1508"/>
      <c r="D426" s="1508"/>
      <c r="E426" s="1508"/>
      <c r="F426" s="2048" t="s">
        <v>1026</v>
      </c>
      <c r="G426" s="2046"/>
      <c r="H426" s="2046"/>
      <c r="I426" s="1508"/>
      <c r="J426" s="1087"/>
      <c r="K426" s="1064"/>
      <c r="L426" s="1064"/>
      <c r="M426" s="1563"/>
      <c r="N426" s="2313">
        <f>N427+N433</f>
        <v>0</v>
      </c>
      <c r="O426" s="1947"/>
      <c r="P426" s="1941"/>
      <c r="Q426" s="2057"/>
      <c r="R426" s="1988"/>
      <c r="V426" s="1982">
        <f>V427+V433</f>
        <v>0</v>
      </c>
      <c r="W426" s="1982">
        <f>W427+W433</f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39" hidden="1" x14ac:dyDescent="0.25">
      <c r="A427" s="1504"/>
      <c r="B427" s="2175" t="s">
        <v>1027</v>
      </c>
      <c r="C427" s="1508"/>
      <c r="D427" s="1508"/>
      <c r="E427" s="1508"/>
      <c r="F427" s="2045" t="s">
        <v>1028</v>
      </c>
      <c r="G427" s="2046"/>
      <c r="H427" s="2046"/>
      <c r="I427" s="1508"/>
      <c r="J427" s="1087"/>
      <c r="K427" s="1064"/>
      <c r="L427" s="1064"/>
      <c r="M427" s="1563"/>
      <c r="N427" s="2283">
        <f t="shared" ref="N427:N431" si="217">N428</f>
        <v>0</v>
      </c>
      <c r="O427" s="1947"/>
      <c r="P427" s="1941"/>
      <c r="Q427" s="2057"/>
      <c r="R427" s="1988"/>
      <c r="V427" s="1986">
        <f t="shared" ref="V427:W431" si="218">V428</f>
        <v>0</v>
      </c>
      <c r="W427" s="1986">
        <f t="shared" si="218"/>
        <v>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39" hidden="1" x14ac:dyDescent="0.25">
      <c r="A428" s="1505"/>
      <c r="B428" s="2067" t="s">
        <v>1029</v>
      </c>
      <c r="C428" s="1508"/>
      <c r="D428" s="1508"/>
      <c r="E428" s="1508"/>
      <c r="F428" s="2045" t="s">
        <v>1030</v>
      </c>
      <c r="G428" s="2046"/>
      <c r="H428" s="2046"/>
      <c r="I428" s="1508"/>
      <c r="J428" s="1087"/>
      <c r="K428" s="1064"/>
      <c r="L428" s="1064"/>
      <c r="M428" s="1563"/>
      <c r="N428" s="2283">
        <f t="shared" si="217"/>
        <v>0</v>
      </c>
      <c r="O428" s="1947"/>
      <c r="P428" s="1941"/>
      <c r="Q428" s="2057"/>
      <c r="R428" s="1988"/>
      <c r="V428" s="1986">
        <f t="shared" si="218"/>
        <v>0</v>
      </c>
      <c r="W428" s="1986">
        <f t="shared" si="218"/>
        <v>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39" hidden="1" x14ac:dyDescent="0.25">
      <c r="A429" s="1505"/>
      <c r="B429" s="2067" t="s">
        <v>1031</v>
      </c>
      <c r="C429" s="1508"/>
      <c r="D429" s="1508"/>
      <c r="E429" s="1508"/>
      <c r="F429" s="532" t="s">
        <v>1032</v>
      </c>
      <c r="G429" s="2046"/>
      <c r="H429" s="2046"/>
      <c r="I429" s="1508"/>
      <c r="J429" s="1087"/>
      <c r="K429" s="1064"/>
      <c r="L429" s="1064"/>
      <c r="M429" s="1563"/>
      <c r="N429" s="2283">
        <f t="shared" si="217"/>
        <v>0</v>
      </c>
      <c r="O429" s="1947"/>
      <c r="P429" s="1941"/>
      <c r="Q429" s="2057"/>
      <c r="R429" s="1988"/>
      <c r="V429" s="1986">
        <f t="shared" si="218"/>
        <v>0</v>
      </c>
      <c r="W429" s="1986">
        <f t="shared" si="218"/>
        <v>0</v>
      </c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t="25.5" hidden="1" customHeight="1" x14ac:dyDescent="0.25">
      <c r="A430" s="1505"/>
      <c r="B430" s="724" t="s">
        <v>948</v>
      </c>
      <c r="C430" s="1508"/>
      <c r="D430" s="1508"/>
      <c r="E430" s="1508"/>
      <c r="F430" s="532" t="s">
        <v>1032</v>
      </c>
      <c r="G430" s="2045" t="s">
        <v>955</v>
      </c>
      <c r="H430" s="2045"/>
      <c r="I430" s="1508"/>
      <c r="J430" s="1087"/>
      <c r="K430" s="1064"/>
      <c r="L430" s="1064"/>
      <c r="M430" s="1563"/>
      <c r="N430" s="2283">
        <f t="shared" si="217"/>
        <v>0</v>
      </c>
      <c r="O430" s="1947"/>
      <c r="P430" s="1941"/>
      <c r="Q430" s="2057"/>
      <c r="R430" s="1988"/>
      <c r="V430" s="1986">
        <f t="shared" si="218"/>
        <v>0</v>
      </c>
      <c r="W430" s="1986">
        <f t="shared" si="218"/>
        <v>0</v>
      </c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t="26" hidden="1" x14ac:dyDescent="0.25">
      <c r="A431" s="1505"/>
      <c r="B431" s="1544" t="s">
        <v>454</v>
      </c>
      <c r="C431" s="1508"/>
      <c r="D431" s="1508"/>
      <c r="E431" s="1508"/>
      <c r="F431" s="532" t="s">
        <v>1032</v>
      </c>
      <c r="G431" s="2045" t="s">
        <v>1</v>
      </c>
      <c r="H431" s="2045"/>
      <c r="I431" s="1508"/>
      <c r="J431" s="1087"/>
      <c r="K431" s="1064"/>
      <c r="L431" s="1064"/>
      <c r="M431" s="1563"/>
      <c r="N431" s="2283">
        <f t="shared" si="217"/>
        <v>0</v>
      </c>
      <c r="O431" s="1947"/>
      <c r="P431" s="1941"/>
      <c r="Q431" s="2057"/>
      <c r="R431" s="1988"/>
      <c r="V431" s="1986">
        <f t="shared" si="218"/>
        <v>0</v>
      </c>
      <c r="W431" s="1986">
        <f t="shared" si="218"/>
        <v>0</v>
      </c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13" hidden="1" x14ac:dyDescent="0.3">
      <c r="A432" s="1505"/>
      <c r="B432" s="744" t="s">
        <v>34</v>
      </c>
      <c r="C432" s="1508"/>
      <c r="D432" s="1508"/>
      <c r="E432" s="1508"/>
      <c r="F432" s="532" t="s">
        <v>1032</v>
      </c>
      <c r="G432" s="2045" t="s">
        <v>1</v>
      </c>
      <c r="H432" s="2045" t="s">
        <v>463</v>
      </c>
      <c r="I432" s="1508" t="s">
        <v>495</v>
      </c>
      <c r="J432" s="1087"/>
      <c r="K432" s="1064"/>
      <c r="L432" s="1064"/>
      <c r="M432" s="1563"/>
      <c r="N432" s="2283">
        <f>4129.999-1.562-777.778-362.241-1200-1788.418</f>
        <v>0</v>
      </c>
      <c r="O432" s="1947"/>
      <c r="P432" s="1941"/>
      <c r="Q432" s="2057"/>
      <c r="R432" s="1988"/>
      <c r="V432" s="1986"/>
      <c r="W432" s="1986"/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13" hidden="1" x14ac:dyDescent="0.3">
      <c r="A433" s="1505"/>
      <c r="B433" s="2321" t="s">
        <v>1044</v>
      </c>
      <c r="C433" s="1508"/>
      <c r="D433" s="1508"/>
      <c r="E433" s="1508"/>
      <c r="F433" s="532" t="s">
        <v>1043</v>
      </c>
      <c r="G433" s="2046" t="s">
        <v>1</v>
      </c>
      <c r="H433" s="2046" t="s">
        <v>463</v>
      </c>
      <c r="I433" s="1508" t="s">
        <v>495</v>
      </c>
      <c r="J433" s="1087"/>
      <c r="K433" s="1064"/>
      <c r="L433" s="1064"/>
      <c r="M433" s="1563"/>
      <c r="N433" s="1986"/>
      <c r="O433" s="1947"/>
      <c r="P433" s="1941"/>
      <c r="Q433" s="2057"/>
      <c r="R433" s="1988"/>
      <c r="V433" s="1986"/>
      <c r="W433" s="1986"/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25.9" customHeight="1" x14ac:dyDescent="0.25">
      <c r="A434" s="32"/>
      <c r="B434" s="1979" t="s">
        <v>158</v>
      </c>
      <c r="C434" s="34"/>
      <c r="D434" s="88"/>
      <c r="E434" s="9"/>
      <c r="F434" s="9"/>
      <c r="G434" s="9"/>
      <c r="H434" s="9"/>
      <c r="I434" s="9"/>
      <c r="J434" s="1111">
        <f>J435+J522+J536</f>
        <v>47038.588000000003</v>
      </c>
      <c r="K434" s="1065"/>
      <c r="L434" s="1064">
        <f t="shared" ref="L434:R434" si="219">L435+L522+L536</f>
        <v>28148.264999999999</v>
      </c>
      <c r="M434" s="1563">
        <f t="shared" si="219"/>
        <v>29104.548000000003</v>
      </c>
      <c r="N434" s="2059">
        <f>N435+N522+N536</f>
        <v>43600.194000000003</v>
      </c>
      <c r="O434" s="2060">
        <f t="shared" si="219"/>
        <v>22421.825000000004</v>
      </c>
      <c r="P434" s="2061">
        <f t="shared" si="219"/>
        <v>23877.43</v>
      </c>
      <c r="Q434" s="2062">
        <f t="shared" si="219"/>
        <v>30018.576999999997</v>
      </c>
      <c r="R434" s="2063">
        <f t="shared" si="219"/>
        <v>30189.748999999996</v>
      </c>
      <c r="V434" s="2059">
        <f>V435+V522+V536</f>
        <v>41634.804000000004</v>
      </c>
      <c r="W434" s="2059">
        <f>W435+W522+W536</f>
        <v>39811.898000000001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83" customFormat="1" ht="39" x14ac:dyDescent="0.3">
      <c r="A435" s="91">
        <v>13</v>
      </c>
      <c r="B435" s="126" t="s">
        <v>126</v>
      </c>
      <c r="C435" s="118"/>
      <c r="D435" s="89" t="s">
        <v>69</v>
      </c>
      <c r="E435" s="89" t="s">
        <v>112</v>
      </c>
      <c r="F435" s="113" t="s">
        <v>157</v>
      </c>
      <c r="G435" s="118"/>
      <c r="H435" s="118"/>
      <c r="I435" s="89"/>
      <c r="J435" s="1113">
        <f>J443+J516+J485+J488+J492+J500+J496</f>
        <v>14363.046000000004</v>
      </c>
      <c r="K435" s="1059"/>
      <c r="L435" s="1059">
        <f>L443+L482+L485+L488+L492+L500+L508</f>
        <v>14872.082</v>
      </c>
      <c r="M435" s="1551">
        <f>M443+M482+M485+M488+M492+M500+M508</f>
        <v>15828.365000000002</v>
      </c>
      <c r="N435" s="1989">
        <f>N436+N442+N516</f>
        <v>23167.24</v>
      </c>
      <c r="O435" s="1990">
        <f>O447+O449+O453+O457+O470+O474+O479+O499+O502+O505+O521+O511</f>
        <v>17791.410000000003</v>
      </c>
      <c r="P435" s="1934">
        <f>P447+P449+P453+P457+P470+P474+P479+P499+P502+P505+P521+P511</f>
        <v>18871.780000000002</v>
      </c>
      <c r="Q435" s="1991">
        <f>Q436+Q442+Q516</f>
        <v>21581.35</v>
      </c>
      <c r="R435" s="1992">
        <f>R436+R442+R516</f>
        <v>22370.437999999998</v>
      </c>
      <c r="S435" s="84"/>
      <c r="T435" s="84"/>
      <c r="U435" s="84"/>
      <c r="V435" s="1989">
        <f>V436+V442+V516</f>
        <v>22383.832000000002</v>
      </c>
      <c r="W435" s="1989">
        <f>W436+W442+W516</f>
        <v>22278.464000000004</v>
      </c>
      <c r="X435" s="84"/>
      <c r="Z435" s="2141"/>
    </row>
    <row r="436" spans="1:256" s="83" customFormat="1" ht="20" x14ac:dyDescent="0.3">
      <c r="A436" s="91"/>
      <c r="B436" s="285" t="s">
        <v>866</v>
      </c>
      <c r="C436" s="118"/>
      <c r="D436" s="89"/>
      <c r="E436" s="89"/>
      <c r="F436" s="112" t="s">
        <v>598</v>
      </c>
      <c r="G436" s="119"/>
      <c r="H436" s="119"/>
      <c r="I436" s="33"/>
      <c r="J436" s="1113"/>
      <c r="K436" s="1059"/>
      <c r="L436" s="1059"/>
      <c r="M436" s="1551"/>
      <c r="N436" s="1998">
        <f>N437</f>
        <v>1761.778</v>
      </c>
      <c r="O436" s="1990"/>
      <c r="P436" s="1934"/>
      <c r="Q436" s="2000">
        <f t="shared" ref="Q436:R440" si="220">Q437</f>
        <v>1764.761</v>
      </c>
      <c r="R436" s="2001">
        <f t="shared" si="220"/>
        <v>1832.232</v>
      </c>
      <c r="S436" s="84"/>
      <c r="T436" s="84"/>
      <c r="U436" s="84"/>
      <c r="V436" s="1998">
        <f t="shared" ref="V436:W440" si="221">V437</f>
        <v>1832.249</v>
      </c>
      <c r="W436" s="1998">
        <f t="shared" si="221"/>
        <v>1905.539</v>
      </c>
      <c r="X436" s="84"/>
      <c r="Z436" s="2141"/>
    </row>
    <row r="437" spans="1:256" s="83" customFormat="1" ht="13" x14ac:dyDescent="0.3">
      <c r="A437" s="91"/>
      <c r="B437" s="285" t="s">
        <v>582</v>
      </c>
      <c r="C437" s="118"/>
      <c r="D437" s="89"/>
      <c r="E437" s="89"/>
      <c r="F437" s="112" t="s">
        <v>597</v>
      </c>
      <c r="G437" s="119"/>
      <c r="H437" s="119"/>
      <c r="I437" s="33"/>
      <c r="J437" s="1113"/>
      <c r="K437" s="1059"/>
      <c r="L437" s="1059"/>
      <c r="M437" s="1551"/>
      <c r="N437" s="1998">
        <f>N438</f>
        <v>1761.778</v>
      </c>
      <c r="O437" s="1990"/>
      <c r="P437" s="1934"/>
      <c r="Q437" s="2000">
        <f t="shared" si="220"/>
        <v>1764.761</v>
      </c>
      <c r="R437" s="2001">
        <f t="shared" si="220"/>
        <v>1832.232</v>
      </c>
      <c r="S437" s="84"/>
      <c r="T437" s="84"/>
      <c r="U437" s="84"/>
      <c r="V437" s="1998">
        <f t="shared" si="221"/>
        <v>1832.249</v>
      </c>
      <c r="W437" s="1998">
        <f t="shared" si="221"/>
        <v>1905.539</v>
      </c>
      <c r="X437" s="84"/>
      <c r="Z437" s="2141"/>
    </row>
    <row r="438" spans="1:256" s="83" customFormat="1" ht="20" x14ac:dyDescent="0.3">
      <c r="A438" s="91"/>
      <c r="B438" s="285" t="s">
        <v>867</v>
      </c>
      <c r="C438" s="118"/>
      <c r="D438" s="89"/>
      <c r="E438" s="89"/>
      <c r="F438" s="113" t="s">
        <v>593</v>
      </c>
      <c r="G438" s="119"/>
      <c r="H438" s="119"/>
      <c r="I438" s="33"/>
      <c r="J438" s="1113"/>
      <c r="K438" s="1059"/>
      <c r="L438" s="1059"/>
      <c r="M438" s="1551"/>
      <c r="N438" s="1989">
        <f>N440</f>
        <v>1761.778</v>
      </c>
      <c r="O438" s="1990"/>
      <c r="P438" s="1934"/>
      <c r="Q438" s="1991">
        <f>Q440</f>
        <v>1764.761</v>
      </c>
      <c r="R438" s="1992">
        <f>R440</f>
        <v>1832.232</v>
      </c>
      <c r="S438" s="84"/>
      <c r="T438" s="84"/>
      <c r="U438" s="84"/>
      <c r="V438" s="1989">
        <f>V440</f>
        <v>1832.249</v>
      </c>
      <c r="W438" s="1989">
        <f>W440</f>
        <v>1905.539</v>
      </c>
      <c r="X438" s="84"/>
      <c r="Z438" s="2141"/>
    </row>
    <row r="439" spans="1:256" s="83" customFormat="1" ht="42.65" customHeight="1" x14ac:dyDescent="0.3">
      <c r="A439" s="91"/>
      <c r="B439" s="49" t="s">
        <v>1063</v>
      </c>
      <c r="C439" s="118"/>
      <c r="D439" s="89"/>
      <c r="E439" s="89"/>
      <c r="F439" s="112" t="s">
        <v>593</v>
      </c>
      <c r="G439" s="119">
        <v>100</v>
      </c>
      <c r="H439" s="119"/>
      <c r="I439" s="33"/>
      <c r="J439" s="1113"/>
      <c r="K439" s="1059"/>
      <c r="L439" s="1059"/>
      <c r="M439" s="1551"/>
      <c r="N439" s="1998">
        <f>N440</f>
        <v>1761.778</v>
      </c>
      <c r="O439" s="1999"/>
      <c r="P439" s="1937"/>
      <c r="Q439" s="2000"/>
      <c r="R439" s="2001"/>
      <c r="S439" s="1028"/>
      <c r="T439" s="1028"/>
      <c r="U439" s="1028"/>
      <c r="V439" s="1998">
        <f t="shared" ref="V439:W439" si="222">V440</f>
        <v>1832.249</v>
      </c>
      <c r="W439" s="1998">
        <f t="shared" si="222"/>
        <v>1905.539</v>
      </c>
      <c r="X439" s="84"/>
      <c r="Z439" s="2141"/>
    </row>
    <row r="440" spans="1:256" s="83" customFormat="1" ht="13" x14ac:dyDescent="0.3">
      <c r="A440" s="91"/>
      <c r="B440" s="284" t="s">
        <v>571</v>
      </c>
      <c r="C440" s="118"/>
      <c r="D440" s="89"/>
      <c r="E440" s="89"/>
      <c r="F440" s="112" t="s">
        <v>593</v>
      </c>
      <c r="G440" s="119">
        <v>120</v>
      </c>
      <c r="H440" s="119"/>
      <c r="I440" s="33"/>
      <c r="J440" s="1113"/>
      <c r="K440" s="1059"/>
      <c r="L440" s="1059"/>
      <c r="M440" s="1551"/>
      <c r="N440" s="1998">
        <f>N441</f>
        <v>1761.778</v>
      </c>
      <c r="O440" s="1990"/>
      <c r="P440" s="1934"/>
      <c r="Q440" s="2000">
        <f t="shared" si="220"/>
        <v>1764.761</v>
      </c>
      <c r="R440" s="2001">
        <f t="shared" si="220"/>
        <v>1832.232</v>
      </c>
      <c r="S440" s="84"/>
      <c r="T440" s="84"/>
      <c r="U440" s="84"/>
      <c r="V440" s="1998">
        <f t="shared" si="221"/>
        <v>1832.249</v>
      </c>
      <c r="W440" s="1998">
        <f t="shared" si="221"/>
        <v>1905.539</v>
      </c>
      <c r="X440" s="84"/>
      <c r="Z440" s="2141"/>
    </row>
    <row r="441" spans="1:256" s="83" customFormat="1" ht="13" x14ac:dyDescent="0.3">
      <c r="A441" s="91"/>
      <c r="B441" s="285" t="s">
        <v>600</v>
      </c>
      <c r="C441" s="118"/>
      <c r="D441" s="89"/>
      <c r="E441" s="89"/>
      <c r="F441" s="112" t="s">
        <v>593</v>
      </c>
      <c r="G441" s="119">
        <v>120</v>
      </c>
      <c r="H441" s="9" t="s">
        <v>456</v>
      </c>
      <c r="I441" s="33" t="s">
        <v>488</v>
      </c>
      <c r="J441" s="1113"/>
      <c r="K441" s="1059"/>
      <c r="L441" s="1059"/>
      <c r="M441" s="1551"/>
      <c r="N441" s="1998">
        <v>1761.778</v>
      </c>
      <c r="O441" s="1990"/>
      <c r="P441" s="1934"/>
      <c r="Q441" s="2064">
        <v>1764.761</v>
      </c>
      <c r="R441" s="2065">
        <v>1832.232</v>
      </c>
      <c r="S441" s="84"/>
      <c r="T441" s="84"/>
      <c r="U441" s="84"/>
      <c r="V441" s="1998">
        <v>1832.249</v>
      </c>
      <c r="W441" s="1998">
        <v>1905.539</v>
      </c>
      <c r="X441" s="84"/>
      <c r="Z441" s="2141"/>
    </row>
    <row r="442" spans="1:256" s="83" customFormat="1" ht="39" x14ac:dyDescent="0.3">
      <c r="A442" s="91"/>
      <c r="B442" s="1093" t="s">
        <v>156</v>
      </c>
      <c r="C442" s="118"/>
      <c r="D442" s="89"/>
      <c r="E442" s="89"/>
      <c r="F442" s="112" t="s">
        <v>155</v>
      </c>
      <c r="G442" s="118"/>
      <c r="H442" s="118"/>
      <c r="I442" s="89"/>
      <c r="J442" s="1115">
        <f>J435</f>
        <v>14363.046000000004</v>
      </c>
      <c r="K442" s="1059"/>
      <c r="L442" s="1059"/>
      <c r="M442" s="1551"/>
      <c r="N442" s="1998">
        <f>N443</f>
        <v>19832.348000000002</v>
      </c>
      <c r="O442" s="1999">
        <f>O435</f>
        <v>17791.410000000003</v>
      </c>
      <c r="P442" s="1937">
        <f>P435</f>
        <v>18871.780000000002</v>
      </c>
      <c r="Q442" s="2007">
        <f>Q447+Q449+Q453+Q457+Q502+Q505</f>
        <v>18243.485000000001</v>
      </c>
      <c r="R442" s="2008">
        <f>R447+R449+R453+R457+R502+R505</f>
        <v>18902.178</v>
      </c>
      <c r="S442" s="84"/>
      <c r="T442" s="84"/>
      <c r="U442" s="84"/>
      <c r="V442" s="1998">
        <f>V443</f>
        <v>18915.544000000002</v>
      </c>
      <c r="W442" s="1998">
        <f>W443</f>
        <v>18671.445000000003</v>
      </c>
      <c r="X442" s="84"/>
      <c r="Z442" s="2141"/>
    </row>
    <row r="443" spans="1:256" s="83" customFormat="1" ht="13" x14ac:dyDescent="0.3">
      <c r="A443" s="85"/>
      <c r="B443" s="1093" t="s">
        <v>109</v>
      </c>
      <c r="C443" s="118"/>
      <c r="D443" s="33" t="s">
        <v>69</v>
      </c>
      <c r="E443" s="33" t="s">
        <v>112</v>
      </c>
      <c r="F443" s="112" t="s">
        <v>154</v>
      </c>
      <c r="G443" s="118"/>
      <c r="H443" s="118"/>
      <c r="I443" s="33"/>
      <c r="J443" s="1060">
        <f>J446+J451+J469+J473+J478</f>
        <v>12462.203000000003</v>
      </c>
      <c r="K443" s="1058"/>
      <c r="L443" s="1059">
        <f>L446+L451</f>
        <v>12437.288999999999</v>
      </c>
      <c r="M443" s="1551">
        <f>M446+M451</f>
        <v>13307.900000000001</v>
      </c>
      <c r="N443" s="1989">
        <f>N444+N467+N471+N496+N500</f>
        <v>19832.348000000002</v>
      </c>
      <c r="O443" s="1999">
        <f>O446+O451+O469+O473+O478</f>
        <v>15466.985000000001</v>
      </c>
      <c r="P443" s="1937">
        <f>P446+P451+P469+P473+P478</f>
        <v>16326.328000000001</v>
      </c>
      <c r="Q443" s="1991">
        <f>Q447+Q449+Q453+Q457+Q502+Q505</f>
        <v>18243.485000000001</v>
      </c>
      <c r="R443" s="1992">
        <f>R447+R449+R453+R457+R502+R505</f>
        <v>18902.178</v>
      </c>
      <c r="S443" s="84"/>
      <c r="T443" s="84"/>
      <c r="U443" s="84"/>
      <c r="V443" s="1989">
        <f>V444+V467+V471+V496+V500</f>
        <v>18915.544000000002</v>
      </c>
      <c r="W443" s="1989">
        <f>W444+W467+W471+W496+W500</f>
        <v>18671.445000000003</v>
      </c>
      <c r="X443" s="84"/>
      <c r="Z443" s="2141"/>
    </row>
    <row r="444" spans="1:256" s="83" customFormat="1" ht="13" x14ac:dyDescent="0.3">
      <c r="A444" s="85"/>
      <c r="B444" s="1110" t="s">
        <v>153</v>
      </c>
      <c r="C444" s="118"/>
      <c r="D444" s="33"/>
      <c r="E444" s="33"/>
      <c r="F444" s="113" t="s">
        <v>152</v>
      </c>
      <c r="G444" s="118"/>
      <c r="H444" s="118"/>
      <c r="I444" s="89"/>
      <c r="J444" s="1059">
        <f>J443</f>
        <v>12462.203000000003</v>
      </c>
      <c r="K444" s="1058"/>
      <c r="L444" s="1059"/>
      <c r="M444" s="1551"/>
      <c r="N444" s="1989">
        <f>N447+N449+N453+N457+N459+N462+N463</f>
        <v>19030.285</v>
      </c>
      <c r="O444" s="1990">
        <f>O443</f>
        <v>15466.985000000001</v>
      </c>
      <c r="P444" s="1934">
        <f>P443</f>
        <v>16326.328000000001</v>
      </c>
      <c r="Q444" s="1991">
        <f>Q447+Q449+Q453+Q457</f>
        <v>18236.385000000002</v>
      </c>
      <c r="R444" s="1992">
        <f>R447+R449+R453+R457</f>
        <v>18895.078000000001</v>
      </c>
      <c r="S444" s="84"/>
      <c r="T444" s="84"/>
      <c r="U444" s="84"/>
      <c r="V444" s="1989">
        <f>V447+V449+V453+V457+V459+V462+V463</f>
        <v>18908.504000000001</v>
      </c>
      <c r="W444" s="1989">
        <f>W447+W449+W453+W457+W459+W462+W463</f>
        <v>18664.405000000002</v>
      </c>
      <c r="X444" s="84"/>
      <c r="Z444" s="2141"/>
    </row>
    <row r="445" spans="1:256" s="83" customFormat="1" ht="40.5" customHeight="1" x14ac:dyDescent="0.3">
      <c r="A445" s="85"/>
      <c r="B445" s="49" t="s">
        <v>1063</v>
      </c>
      <c r="C445" s="118"/>
      <c r="D445" s="33"/>
      <c r="E445" s="33"/>
      <c r="F445" s="112" t="s">
        <v>152</v>
      </c>
      <c r="G445" s="119">
        <v>100</v>
      </c>
      <c r="H445" s="118"/>
      <c r="I445" s="89"/>
      <c r="J445" s="1059"/>
      <c r="K445" s="1058"/>
      <c r="L445" s="1059"/>
      <c r="M445" s="1551"/>
      <c r="N445" s="1989">
        <f>N446</f>
        <v>14908.188999999998</v>
      </c>
      <c r="O445" s="1990"/>
      <c r="P445" s="1934"/>
      <c r="Q445" s="1991"/>
      <c r="R445" s="1992"/>
      <c r="S445" s="84"/>
      <c r="T445" s="84"/>
      <c r="U445" s="84"/>
      <c r="V445" s="1989">
        <f t="shared" ref="V445:W445" si="223">V446</f>
        <v>15504.517</v>
      </c>
      <c r="W445" s="1989">
        <f t="shared" si="223"/>
        <v>16124.698</v>
      </c>
      <c r="X445" s="84"/>
      <c r="Z445" s="2141"/>
    </row>
    <row r="446" spans="1:256" s="83" customFormat="1" ht="22.15" customHeight="1" x14ac:dyDescent="0.3">
      <c r="A446" s="85"/>
      <c r="B446" s="2003" t="s">
        <v>7</v>
      </c>
      <c r="C446" s="118"/>
      <c r="D446" s="33"/>
      <c r="E446" s="33"/>
      <c r="F446" s="112" t="s">
        <v>152</v>
      </c>
      <c r="G446" s="119">
        <v>120</v>
      </c>
      <c r="H446" s="119"/>
      <c r="I446" s="89"/>
      <c r="J446" s="1060">
        <f>J447+J449</f>
        <v>8197.5570000000007</v>
      </c>
      <c r="K446" s="1058"/>
      <c r="L446" s="1059">
        <f>L447+L449</f>
        <v>9181.8719999999994</v>
      </c>
      <c r="M446" s="1551">
        <f>M447+M449</f>
        <v>9824.6040000000012</v>
      </c>
      <c r="N446" s="1998">
        <f>N447+N449</f>
        <v>14908.188999999998</v>
      </c>
      <c r="O446" s="1999">
        <f>O447+O449</f>
        <v>9671.2350000000006</v>
      </c>
      <c r="P446" s="1937">
        <f>P447+P449</f>
        <v>10737.36</v>
      </c>
      <c r="Q446" s="2000">
        <f>Q449+Q448+Q447+Q455</f>
        <v>15286.343000000001</v>
      </c>
      <c r="R446" s="2001">
        <f>R449+R448+R447+R455</f>
        <v>15897.791999999999</v>
      </c>
      <c r="S446" s="84"/>
      <c r="T446" s="84"/>
      <c r="U446" s="84"/>
      <c r="V446" s="1998">
        <f>V447+V449</f>
        <v>15504.517</v>
      </c>
      <c r="W446" s="1998">
        <f>W447+W449</f>
        <v>16124.698</v>
      </c>
      <c r="X446" s="84"/>
      <c r="Z446" s="2141"/>
    </row>
    <row r="447" spans="1:256" s="83" customFormat="1" ht="41.5" customHeight="1" x14ac:dyDescent="0.3">
      <c r="A447" s="85"/>
      <c r="B447" s="336" t="s">
        <v>114</v>
      </c>
      <c r="C447" s="118"/>
      <c r="D447" s="33" t="s">
        <v>69</v>
      </c>
      <c r="E447" s="33" t="s">
        <v>112</v>
      </c>
      <c r="F447" s="112" t="s">
        <v>152</v>
      </c>
      <c r="G447" s="119">
        <v>120</v>
      </c>
      <c r="H447" s="9" t="s">
        <v>456</v>
      </c>
      <c r="I447" s="33" t="s">
        <v>495</v>
      </c>
      <c r="J447" s="1060">
        <f>807.519+241.455</f>
        <v>1048.9739999999999</v>
      </c>
      <c r="K447" s="1059"/>
      <c r="L447" s="1061">
        <v>1378.2239999999999</v>
      </c>
      <c r="M447" s="1565">
        <v>1474.6990000000001</v>
      </c>
      <c r="N447" s="1998">
        <v>994.077</v>
      </c>
      <c r="O447" s="1999">
        <v>672.428</v>
      </c>
      <c r="P447" s="1937">
        <v>739.67200000000003</v>
      </c>
      <c r="Q447" s="2000">
        <v>994.03099999999995</v>
      </c>
      <c r="R447" s="2001">
        <v>1033.7919999999999</v>
      </c>
      <c r="S447" s="84"/>
      <c r="T447" s="84"/>
      <c r="U447" s="84"/>
      <c r="V447" s="1998">
        <v>1033.8399999999999</v>
      </c>
      <c r="W447" s="1998">
        <v>1075.194</v>
      </c>
      <c r="X447" s="84"/>
      <c r="Z447" s="2141"/>
    </row>
    <row r="448" spans="1:256" s="83" customFormat="1" ht="41.5" hidden="1" customHeight="1" x14ac:dyDescent="0.3">
      <c r="A448" s="85"/>
      <c r="B448" s="1117" t="s">
        <v>589</v>
      </c>
      <c r="C448" s="118"/>
      <c r="D448" s="33"/>
      <c r="E448" s="33"/>
      <c r="F448" s="112" t="s">
        <v>113</v>
      </c>
      <c r="G448" s="119">
        <v>120</v>
      </c>
      <c r="H448" s="9" t="s">
        <v>456</v>
      </c>
      <c r="I448" s="33" t="s">
        <v>495</v>
      </c>
      <c r="J448" s="1060"/>
      <c r="K448" s="1058"/>
      <c r="L448" s="1062"/>
      <c r="M448" s="1556"/>
      <c r="N448" s="1998">
        <v>0</v>
      </c>
      <c r="O448" s="1999"/>
      <c r="P448" s="1937"/>
      <c r="Q448" s="2000">
        <v>0</v>
      </c>
      <c r="R448" s="2001">
        <v>0</v>
      </c>
      <c r="S448" s="84"/>
      <c r="T448" s="84"/>
      <c r="U448" s="84"/>
      <c r="V448" s="1998">
        <v>0</v>
      </c>
      <c r="W448" s="1998">
        <v>0</v>
      </c>
      <c r="X448" s="84"/>
      <c r="Z448" s="2141"/>
    </row>
    <row r="449" spans="1:26" ht="41.5" customHeight="1" x14ac:dyDescent="0.3">
      <c r="A449" s="32"/>
      <c r="B449" s="2066" t="s">
        <v>105</v>
      </c>
      <c r="C449" s="88"/>
      <c r="D449" s="88" t="s">
        <v>69</v>
      </c>
      <c r="E449" s="88" t="s">
        <v>103</v>
      </c>
      <c r="F449" s="112" t="s">
        <v>152</v>
      </c>
      <c r="G449" s="88">
        <v>120</v>
      </c>
      <c r="H449" s="9" t="s">
        <v>456</v>
      </c>
      <c r="I449" s="33" t="s">
        <v>452</v>
      </c>
      <c r="J449" s="1061">
        <f>5450.283+1.2+1697.1</f>
        <v>7148.5830000000005</v>
      </c>
      <c r="K449" s="1061"/>
      <c r="L449" s="1061">
        <v>7803.6480000000001</v>
      </c>
      <c r="M449" s="1566">
        <v>8349.9050000000007</v>
      </c>
      <c r="N449" s="1986">
        <v>13914.111999999999</v>
      </c>
      <c r="O449" s="1947">
        <v>8998.8070000000007</v>
      </c>
      <c r="P449" s="1941">
        <v>9997.6880000000001</v>
      </c>
      <c r="Q449" s="1987">
        <v>14292.312</v>
      </c>
      <c r="R449" s="1988">
        <v>14864</v>
      </c>
      <c r="V449" s="1986">
        <v>14470.677</v>
      </c>
      <c r="W449" s="1986">
        <v>15049.504000000001</v>
      </c>
    </row>
    <row r="450" spans="1:26" ht="28" customHeight="1" x14ac:dyDescent="0.25">
      <c r="A450" s="32"/>
      <c r="B450" s="724" t="s">
        <v>948</v>
      </c>
      <c r="C450" s="88"/>
      <c r="D450" s="88"/>
      <c r="E450" s="88"/>
      <c r="F450" s="112" t="s">
        <v>152</v>
      </c>
      <c r="G450" s="88">
        <v>200</v>
      </c>
      <c r="H450" s="9"/>
      <c r="I450" s="33"/>
      <c r="J450" s="1061"/>
      <c r="K450" s="1061"/>
      <c r="L450" s="1061"/>
      <c r="M450" s="1566"/>
      <c r="N450" s="1986">
        <f>N451</f>
        <v>4111.0959999999995</v>
      </c>
      <c r="O450" s="1947"/>
      <c r="P450" s="1941"/>
      <c r="Q450" s="1987"/>
      <c r="R450" s="1988"/>
      <c r="V450" s="1986">
        <f t="shared" ref="V450:W450" si="224">V451</f>
        <v>3392.9870000000001</v>
      </c>
      <c r="W450" s="1986">
        <f t="shared" si="224"/>
        <v>2528.7069999999999</v>
      </c>
    </row>
    <row r="451" spans="1:26" s="83" customFormat="1" ht="29.5" customHeight="1" x14ac:dyDescent="0.3">
      <c r="A451" s="85"/>
      <c r="B451" s="1993" t="s">
        <v>4</v>
      </c>
      <c r="C451" s="118"/>
      <c r="D451" s="33" t="s">
        <v>69</v>
      </c>
      <c r="E451" s="33" t="s">
        <v>112</v>
      </c>
      <c r="F451" s="112" t="s">
        <v>152</v>
      </c>
      <c r="G451" s="119">
        <v>240</v>
      </c>
      <c r="H451" s="119"/>
      <c r="I451" s="89"/>
      <c r="J451" s="1060">
        <f>J453+J457</f>
        <v>3612.3460000000005</v>
      </c>
      <c r="K451" s="1058"/>
      <c r="L451" s="1058">
        <f t="shared" ref="L451:R451" si="225">L453+L457</f>
        <v>3255.4169999999999</v>
      </c>
      <c r="M451" s="1555">
        <f t="shared" si="225"/>
        <v>3483.2959999999998</v>
      </c>
      <c r="N451" s="1998">
        <f t="shared" si="225"/>
        <v>4111.0959999999995</v>
      </c>
      <c r="O451" s="1999">
        <f t="shared" si="225"/>
        <v>5795.75</v>
      </c>
      <c r="P451" s="1937">
        <f t="shared" si="225"/>
        <v>5588.9679999999998</v>
      </c>
      <c r="Q451" s="2000">
        <f t="shared" si="225"/>
        <v>2950.0419999999999</v>
      </c>
      <c r="R451" s="2001">
        <f t="shared" si="225"/>
        <v>2997.2860000000001</v>
      </c>
      <c r="S451" s="84"/>
      <c r="T451" s="84"/>
      <c r="U451" s="84"/>
      <c r="V451" s="1998">
        <f t="shared" ref="V451:W451" si="226">V453+V457</f>
        <v>3392.9870000000001</v>
      </c>
      <c r="W451" s="1998">
        <f t="shared" si="226"/>
        <v>2528.7069999999999</v>
      </c>
      <c r="X451" s="84"/>
      <c r="Z451" s="2141"/>
    </row>
    <row r="452" spans="1:26" s="83" customFormat="1" ht="28.9" hidden="1" customHeight="1" x14ac:dyDescent="0.3">
      <c r="A452" s="85"/>
      <c r="B452" s="1993" t="s">
        <v>4</v>
      </c>
      <c r="C452" s="118"/>
      <c r="D452" s="33"/>
      <c r="E452" s="33"/>
      <c r="F452" s="112" t="s">
        <v>152</v>
      </c>
      <c r="G452" s="119">
        <v>240</v>
      </c>
      <c r="H452" s="119"/>
      <c r="I452" s="33"/>
      <c r="J452" s="1060">
        <f>J453</f>
        <v>1338.8210000000001</v>
      </c>
      <c r="K452" s="1058"/>
      <c r="L452" s="1058"/>
      <c r="M452" s="1555"/>
      <c r="N452" s="1998">
        <f>N453</f>
        <v>941.93799999999999</v>
      </c>
      <c r="O452" s="1999">
        <f>O453</f>
        <v>1199.08</v>
      </c>
      <c r="P452" s="1937">
        <f>P453</f>
        <v>1171.8689999999999</v>
      </c>
      <c r="Q452" s="2000">
        <f>Q453</f>
        <v>964.28800000000001</v>
      </c>
      <c r="R452" s="2001">
        <f>R453</f>
        <v>1005.98</v>
      </c>
      <c r="S452" s="84"/>
      <c r="T452" s="84"/>
      <c r="U452" s="84"/>
      <c r="V452" s="1998">
        <f>V453</f>
        <v>980.65200000000004</v>
      </c>
      <c r="W452" s="1998">
        <f>W453</f>
        <v>519.87900000000002</v>
      </c>
      <c r="X452" s="84"/>
      <c r="Z452" s="2141"/>
    </row>
    <row r="453" spans="1:26" s="83" customFormat="1" ht="43.15" customHeight="1" x14ac:dyDescent="0.3">
      <c r="A453" s="85"/>
      <c r="B453" s="336" t="s">
        <v>114</v>
      </c>
      <c r="C453" s="118"/>
      <c r="D453" s="33"/>
      <c r="E453" s="33"/>
      <c r="F453" s="112" t="s">
        <v>152</v>
      </c>
      <c r="G453" s="119">
        <v>240</v>
      </c>
      <c r="H453" s="9" t="s">
        <v>456</v>
      </c>
      <c r="I453" s="33" t="s">
        <v>495</v>
      </c>
      <c r="J453" s="1060">
        <f>2387.795-1048.974</f>
        <v>1338.8210000000001</v>
      </c>
      <c r="K453" s="1058"/>
      <c r="L453" s="1062">
        <v>906.91</v>
      </c>
      <c r="M453" s="1556">
        <v>970.39300000000003</v>
      </c>
      <c r="N453" s="1998">
        <v>941.93799999999999</v>
      </c>
      <c r="O453" s="1999">
        <v>1199.08</v>
      </c>
      <c r="P453" s="1937">
        <v>1171.8689999999999</v>
      </c>
      <c r="Q453" s="2000">
        <v>964.28800000000001</v>
      </c>
      <c r="R453" s="2001">
        <v>1005.98</v>
      </c>
      <c r="S453" s="84"/>
      <c r="T453" s="84"/>
      <c r="U453" s="84"/>
      <c r="V453" s="1998">
        <v>980.65200000000004</v>
      </c>
      <c r="W453" s="1998">
        <f>1019.879-500</f>
        <v>519.87900000000002</v>
      </c>
      <c r="X453" s="84"/>
      <c r="Z453" s="2141"/>
    </row>
    <row r="454" spans="1:26" s="83" customFormat="1" ht="20.25" hidden="1" customHeight="1" x14ac:dyDescent="0.3">
      <c r="A454" s="85"/>
      <c r="B454" s="2348" t="s">
        <v>94</v>
      </c>
      <c r="C454" s="118"/>
      <c r="D454" s="33"/>
      <c r="E454" s="33"/>
      <c r="F454" s="112" t="s">
        <v>152</v>
      </c>
      <c r="G454" s="119">
        <v>850</v>
      </c>
      <c r="H454" s="9" t="s">
        <v>456</v>
      </c>
      <c r="I454" s="33" t="s">
        <v>495</v>
      </c>
      <c r="J454" s="1060"/>
      <c r="K454" s="1058"/>
      <c r="L454" s="1062"/>
      <c r="M454" s="1556"/>
      <c r="N454" s="1998"/>
      <c r="O454" s="1999"/>
      <c r="P454" s="1937"/>
      <c r="Q454" s="2000"/>
      <c r="R454" s="2001"/>
      <c r="S454" s="84"/>
      <c r="T454" s="84"/>
      <c r="U454" s="84"/>
      <c r="V454" s="1998"/>
      <c r="W454" s="1998"/>
      <c r="X454" s="84"/>
      <c r="Z454" s="2141"/>
    </row>
    <row r="455" spans="1:26" s="83" customFormat="1" ht="26.25" hidden="1" customHeight="1" x14ac:dyDescent="0.3">
      <c r="A455" s="85"/>
      <c r="B455" s="336" t="s">
        <v>571</v>
      </c>
      <c r="C455" s="118"/>
      <c r="D455" s="33"/>
      <c r="E455" s="33"/>
      <c r="F455" s="112" t="s">
        <v>113</v>
      </c>
      <c r="G455" s="119">
        <v>120</v>
      </c>
      <c r="H455" s="9" t="s">
        <v>456</v>
      </c>
      <c r="I455" s="33" t="s">
        <v>495</v>
      </c>
      <c r="J455" s="1060"/>
      <c r="K455" s="1058"/>
      <c r="L455" s="1062"/>
      <c r="M455" s="1556"/>
      <c r="N455" s="1998"/>
      <c r="O455" s="1999"/>
      <c r="P455" s="1937"/>
      <c r="Q455" s="2000">
        <v>0</v>
      </c>
      <c r="R455" s="2001">
        <v>0</v>
      </c>
      <c r="S455" s="84"/>
      <c r="T455" s="84"/>
      <c r="U455" s="84"/>
      <c r="V455" s="1998"/>
      <c r="W455" s="1998"/>
      <c r="X455" s="84"/>
      <c r="Z455" s="2141"/>
    </row>
    <row r="456" spans="1:26" s="83" customFormat="1" ht="27" hidden="1" customHeight="1" x14ac:dyDescent="0.3">
      <c r="A456" s="85"/>
      <c r="B456" s="1993" t="s">
        <v>4</v>
      </c>
      <c r="C456" s="118"/>
      <c r="D456" s="33"/>
      <c r="E456" s="33"/>
      <c r="F456" s="112" t="s">
        <v>152</v>
      </c>
      <c r="G456" s="88">
        <v>240</v>
      </c>
      <c r="H456" s="88"/>
      <c r="I456" s="88"/>
      <c r="J456" s="1061">
        <f>J457</f>
        <v>2273.5250000000001</v>
      </c>
      <c r="K456" s="1058"/>
      <c r="L456" s="1062"/>
      <c r="M456" s="1556"/>
      <c r="N456" s="1986"/>
      <c r="O456" s="1947">
        <f>O457</f>
        <v>4596.67</v>
      </c>
      <c r="P456" s="1941">
        <f>P457</f>
        <v>4417.0990000000002</v>
      </c>
      <c r="Q456" s="1987">
        <f>Q457</f>
        <v>1985.7539999999999</v>
      </c>
      <c r="R456" s="1988">
        <f>R457</f>
        <v>1991.306</v>
      </c>
      <c r="S456" s="84"/>
      <c r="T456" s="84"/>
      <c r="U456" s="84"/>
      <c r="V456" s="1986"/>
      <c r="W456" s="1986"/>
      <c r="X456" s="84"/>
      <c r="Z456" s="2141"/>
    </row>
    <row r="457" spans="1:26" ht="39" customHeight="1" x14ac:dyDescent="0.3">
      <c r="A457" s="32"/>
      <c r="B457" s="2012" t="s">
        <v>105</v>
      </c>
      <c r="C457" s="88"/>
      <c r="D457" s="88" t="s">
        <v>69</v>
      </c>
      <c r="E457" s="88" t="s">
        <v>103</v>
      </c>
      <c r="F457" s="112" t="s">
        <v>152</v>
      </c>
      <c r="G457" s="88">
        <v>240</v>
      </c>
      <c r="H457" s="9" t="s">
        <v>456</v>
      </c>
      <c r="I457" s="33" t="s">
        <v>452</v>
      </c>
      <c r="J457" s="1061">
        <v>2273.5250000000001</v>
      </c>
      <c r="K457" s="1061"/>
      <c r="L457" s="1118">
        <v>2348.5070000000001</v>
      </c>
      <c r="M457" s="1567">
        <v>2512.9029999999998</v>
      </c>
      <c r="N457" s="1986">
        <v>3169.1579999999999</v>
      </c>
      <c r="O457" s="1947">
        <v>4596.67</v>
      </c>
      <c r="P457" s="1941">
        <v>4417.0990000000002</v>
      </c>
      <c r="Q457" s="1987">
        <v>1985.7539999999999</v>
      </c>
      <c r="R457" s="1988">
        <v>1991.306</v>
      </c>
      <c r="V457" s="1986">
        <v>2412.335</v>
      </c>
      <c r="W457" s="1986">
        <f>2508.828-500</f>
        <v>2008.828</v>
      </c>
    </row>
    <row r="458" spans="1:26" ht="39" hidden="1" customHeight="1" x14ac:dyDescent="0.25">
      <c r="A458" s="32"/>
      <c r="B458" s="2067" t="s">
        <v>97</v>
      </c>
      <c r="C458" s="88"/>
      <c r="D458" s="88"/>
      <c r="E458" s="88"/>
      <c r="F458" s="112" t="s">
        <v>152</v>
      </c>
      <c r="G458" s="119">
        <v>830</v>
      </c>
      <c r="H458" s="9"/>
      <c r="I458" s="33"/>
      <c r="J458" s="1061"/>
      <c r="K458" s="1061"/>
      <c r="L458" s="1118"/>
      <c r="M458" s="1567"/>
      <c r="N458" s="1986">
        <f>N459</f>
        <v>0</v>
      </c>
      <c r="O458" s="1947"/>
      <c r="P458" s="1941"/>
      <c r="Q458" s="1987"/>
      <c r="R458" s="1988"/>
      <c r="V458" s="1986">
        <f>V459</f>
        <v>0</v>
      </c>
      <c r="W458" s="1986">
        <f>W459</f>
        <v>0</v>
      </c>
    </row>
    <row r="459" spans="1:26" ht="39" hidden="1" customHeight="1" x14ac:dyDescent="0.3">
      <c r="A459" s="32"/>
      <c r="B459" s="336" t="s">
        <v>114</v>
      </c>
      <c r="C459" s="88"/>
      <c r="D459" s="88"/>
      <c r="E459" s="88"/>
      <c r="F459" s="112" t="s">
        <v>152</v>
      </c>
      <c r="G459" s="119">
        <v>830</v>
      </c>
      <c r="H459" s="9" t="s">
        <v>456</v>
      </c>
      <c r="I459" s="33" t="s">
        <v>495</v>
      </c>
      <c r="J459" s="1061"/>
      <c r="K459" s="1061"/>
      <c r="L459" s="1118"/>
      <c r="M459" s="1567"/>
      <c r="N459" s="1986"/>
      <c r="O459" s="1947"/>
      <c r="P459" s="1941"/>
      <c r="Q459" s="1987"/>
      <c r="R459" s="1988"/>
      <c r="V459" s="1986"/>
      <c r="W459" s="1986"/>
    </row>
    <row r="460" spans="1:26" ht="19.5" customHeight="1" x14ac:dyDescent="0.25">
      <c r="A460" s="32"/>
      <c r="B460" s="2176" t="s">
        <v>1065</v>
      </c>
      <c r="C460" s="88"/>
      <c r="D460" s="88"/>
      <c r="E460" s="88"/>
      <c r="F460" s="112" t="s">
        <v>152</v>
      </c>
      <c r="G460" s="119">
        <v>800</v>
      </c>
      <c r="H460" s="9"/>
      <c r="I460" s="33"/>
      <c r="J460" s="1061"/>
      <c r="K460" s="1061"/>
      <c r="L460" s="1118"/>
      <c r="M460" s="1567"/>
      <c r="N460" s="1986">
        <f>N461</f>
        <v>11</v>
      </c>
      <c r="O460" s="1947"/>
      <c r="P460" s="1941"/>
      <c r="Q460" s="1987"/>
      <c r="R460" s="1988"/>
      <c r="V460" s="1986">
        <f t="shared" ref="V460:W460" si="227">V461</f>
        <v>11</v>
      </c>
      <c r="W460" s="1986">
        <f t="shared" si="227"/>
        <v>11</v>
      </c>
    </row>
    <row r="461" spans="1:26" ht="19" customHeight="1" x14ac:dyDescent="0.25">
      <c r="A461" s="32"/>
      <c r="B461" s="2348" t="s">
        <v>94</v>
      </c>
      <c r="C461" s="88"/>
      <c r="D461" s="88"/>
      <c r="E461" s="88"/>
      <c r="F461" s="112" t="s">
        <v>152</v>
      </c>
      <c r="G461" s="119">
        <v>850</v>
      </c>
      <c r="H461" s="9"/>
      <c r="I461" s="33"/>
      <c r="J461" s="1061"/>
      <c r="K461" s="1061"/>
      <c r="L461" s="1118"/>
      <c r="M461" s="1567"/>
      <c r="N461" s="1986">
        <f>N462+N463</f>
        <v>11</v>
      </c>
      <c r="O461" s="1947"/>
      <c r="P461" s="1941"/>
      <c r="Q461" s="1987">
        <f>Q462+Q463</f>
        <v>0</v>
      </c>
      <c r="R461" s="1988">
        <f>R462+R463</f>
        <v>0</v>
      </c>
      <c r="V461" s="1986">
        <f>V462+V463</f>
        <v>11</v>
      </c>
      <c r="W461" s="1986">
        <f>W462+W463</f>
        <v>11</v>
      </c>
    </row>
    <row r="462" spans="1:26" ht="39" customHeight="1" x14ac:dyDescent="0.3">
      <c r="A462" s="32"/>
      <c r="B462" s="336" t="s">
        <v>114</v>
      </c>
      <c r="C462" s="118"/>
      <c r="D462" s="33"/>
      <c r="E462" s="33"/>
      <c r="F462" s="112" t="s">
        <v>152</v>
      </c>
      <c r="G462" s="119">
        <v>850</v>
      </c>
      <c r="H462" s="9" t="s">
        <v>456</v>
      </c>
      <c r="I462" s="33" t="s">
        <v>495</v>
      </c>
      <c r="J462" s="1060"/>
      <c r="K462" s="1058"/>
      <c r="L462" s="1062"/>
      <c r="M462" s="1556"/>
      <c r="N462" s="1998">
        <v>1</v>
      </c>
      <c r="O462" s="1947"/>
      <c r="P462" s="1941"/>
      <c r="Q462" s="2000"/>
      <c r="R462" s="2001"/>
      <c r="V462" s="1998">
        <v>1</v>
      </c>
      <c r="W462" s="1998">
        <v>1</v>
      </c>
    </row>
    <row r="463" spans="1:26" ht="38.5" customHeight="1" x14ac:dyDescent="0.3">
      <c r="A463" s="32"/>
      <c r="B463" s="2012" t="s">
        <v>105</v>
      </c>
      <c r="C463" s="88"/>
      <c r="D463" s="88"/>
      <c r="E463" s="88"/>
      <c r="F463" s="112" t="s">
        <v>152</v>
      </c>
      <c r="G463" s="88">
        <v>850</v>
      </c>
      <c r="H463" s="9" t="s">
        <v>456</v>
      </c>
      <c r="I463" s="33" t="s">
        <v>452</v>
      </c>
      <c r="J463" s="1061"/>
      <c r="K463" s="1061"/>
      <c r="L463" s="1061"/>
      <c r="M463" s="1125"/>
      <c r="N463" s="1986">
        <v>10</v>
      </c>
      <c r="O463" s="1947"/>
      <c r="P463" s="1941"/>
      <c r="Q463" s="1987"/>
      <c r="R463" s="1988"/>
      <c r="V463" s="1986">
        <v>10</v>
      </c>
      <c r="W463" s="1986">
        <v>10</v>
      </c>
    </row>
    <row r="464" spans="1:26" ht="21" hidden="1" customHeight="1" x14ac:dyDescent="0.3">
      <c r="A464" s="32"/>
      <c r="B464" s="2003" t="s">
        <v>16</v>
      </c>
      <c r="C464" s="88"/>
      <c r="D464" s="88" t="s">
        <v>69</v>
      </c>
      <c r="E464" s="88" t="s">
        <v>103</v>
      </c>
      <c r="F464" s="88">
        <v>9100004</v>
      </c>
      <c r="G464" s="88">
        <v>240</v>
      </c>
      <c r="H464" s="88"/>
      <c r="I464" s="88" t="s">
        <v>103</v>
      </c>
      <c r="J464" s="1061">
        <v>2215.5729999999999</v>
      </c>
      <c r="K464" s="1061"/>
      <c r="L464" s="1061">
        <f>J464*106%</f>
        <v>2348.50738</v>
      </c>
      <c r="M464" s="1125">
        <f>L464*107%</f>
        <v>2512.9028966000001</v>
      </c>
      <c r="N464" s="1986">
        <v>2215.5729999999999</v>
      </c>
      <c r="O464" s="1947">
        <v>2215.5729999999999</v>
      </c>
      <c r="P464" s="1941">
        <v>2215.5729999999999</v>
      </c>
      <c r="Q464" s="1987">
        <v>2215.5729999999999</v>
      </c>
      <c r="R464" s="1988">
        <v>2215.5729999999999</v>
      </c>
      <c r="V464" s="1986">
        <v>2215.5729999999999</v>
      </c>
      <c r="W464" s="1986">
        <v>2215.5729999999999</v>
      </c>
    </row>
    <row r="465" spans="1:256" ht="21" hidden="1" customHeight="1" x14ac:dyDescent="0.3">
      <c r="A465" s="32"/>
      <c r="B465" s="2003"/>
      <c r="C465" s="88"/>
      <c r="D465" s="88"/>
      <c r="E465" s="88"/>
      <c r="F465" s="88"/>
      <c r="G465" s="88"/>
      <c r="H465" s="88"/>
      <c r="I465" s="88"/>
      <c r="J465" s="1061"/>
      <c r="K465" s="1061"/>
      <c r="L465" s="1061"/>
      <c r="M465" s="1125"/>
      <c r="N465" s="1986"/>
      <c r="O465" s="1947"/>
      <c r="P465" s="1941"/>
      <c r="Q465" s="1987"/>
      <c r="R465" s="1988"/>
      <c r="V465" s="1986"/>
      <c r="W465" s="1986"/>
    </row>
    <row r="466" spans="1:256" ht="21" hidden="1" customHeight="1" x14ac:dyDescent="0.3">
      <c r="A466" s="32"/>
      <c r="B466" s="2003"/>
      <c r="C466" s="88"/>
      <c r="D466" s="88"/>
      <c r="E466" s="88"/>
      <c r="F466" s="88">
        <v>9100004</v>
      </c>
      <c r="G466" s="88"/>
      <c r="H466" s="88"/>
      <c r="I466" s="88" t="s">
        <v>103</v>
      </c>
      <c r="J466" s="1061" t="e">
        <f>#REF!+J457</f>
        <v>#REF!</v>
      </c>
      <c r="K466" s="1061"/>
      <c r="L466" s="1061" t="e">
        <f>#REF!+L457</f>
        <v>#REF!</v>
      </c>
      <c r="M466" s="1125" t="e">
        <f>#REF!+M457</f>
        <v>#REF!</v>
      </c>
      <c r="N466" s="1986" t="e">
        <f>#REF!+N457</f>
        <v>#REF!</v>
      </c>
      <c r="O466" s="1947" t="e">
        <f>#REF!+O457</f>
        <v>#REF!</v>
      </c>
      <c r="P466" s="1941" t="e">
        <f>#REF!+P457</f>
        <v>#REF!</v>
      </c>
      <c r="Q466" s="1987" t="e">
        <f>#REF!+Q457</f>
        <v>#REF!</v>
      </c>
      <c r="R466" s="1988" t="e">
        <f>#REF!+R457</f>
        <v>#REF!</v>
      </c>
      <c r="V466" s="1986" t="e">
        <f>#REF!+V457</f>
        <v>#REF!</v>
      </c>
      <c r="W466" s="1986" t="e">
        <f>#REF!+W457</f>
        <v>#REF!</v>
      </c>
    </row>
    <row r="467" spans="1:256" ht="39" x14ac:dyDescent="0.3">
      <c r="A467" s="32"/>
      <c r="B467" s="336" t="s">
        <v>151</v>
      </c>
      <c r="C467" s="88"/>
      <c r="D467" s="88"/>
      <c r="E467" s="88"/>
      <c r="F467" s="113" t="s">
        <v>623</v>
      </c>
      <c r="G467" s="94"/>
      <c r="H467" s="94"/>
      <c r="I467" s="94"/>
      <c r="J467" s="1064">
        <f>J469</f>
        <v>179.7</v>
      </c>
      <c r="K467" s="1064"/>
      <c r="L467" s="1064"/>
      <c r="M467" s="1552"/>
      <c r="N467" s="1982">
        <f>N469</f>
        <v>54.32</v>
      </c>
      <c r="O467" s="1994">
        <f>O469</f>
        <v>0</v>
      </c>
      <c r="P467" s="1939">
        <f>P469</f>
        <v>0</v>
      </c>
      <c r="Q467" s="1995">
        <f>Q469</f>
        <v>0</v>
      </c>
      <c r="R467" s="1985">
        <f>R469</f>
        <v>0</v>
      </c>
      <c r="V467" s="2151">
        <f>V469</f>
        <v>0</v>
      </c>
      <c r="W467" s="2151">
        <f>W469</f>
        <v>0</v>
      </c>
    </row>
    <row r="468" spans="1:256" ht="13" x14ac:dyDescent="0.3">
      <c r="A468" s="32"/>
      <c r="B468" s="336" t="s">
        <v>1069</v>
      </c>
      <c r="C468" s="88"/>
      <c r="D468" s="88"/>
      <c r="E468" s="88"/>
      <c r="F468" s="112" t="s">
        <v>623</v>
      </c>
      <c r="G468" s="88">
        <v>500</v>
      </c>
      <c r="H468" s="94"/>
      <c r="I468" s="94"/>
      <c r="J468" s="1064"/>
      <c r="K468" s="1064"/>
      <c r="L468" s="1064"/>
      <c r="M468" s="1552"/>
      <c r="N468" s="1982">
        <f>N469</f>
        <v>54.32</v>
      </c>
      <c r="O468" s="1994"/>
      <c r="P468" s="1939"/>
      <c r="Q468" s="1995"/>
      <c r="R468" s="1985"/>
      <c r="V468" s="2151">
        <f>V469</f>
        <v>0</v>
      </c>
      <c r="W468" s="2151">
        <f>W469</f>
        <v>0</v>
      </c>
    </row>
    <row r="469" spans="1:256" ht="13" x14ac:dyDescent="0.3">
      <c r="A469" s="32"/>
      <c r="B469" s="336" t="s">
        <v>123</v>
      </c>
      <c r="C469" s="88"/>
      <c r="D469" s="88"/>
      <c r="E469" s="88"/>
      <c r="F469" s="112" t="s">
        <v>623</v>
      </c>
      <c r="G469" s="88">
        <v>540</v>
      </c>
      <c r="H469" s="88"/>
      <c r="I469" s="88"/>
      <c r="J469" s="1061">
        <f>J470</f>
        <v>179.7</v>
      </c>
      <c r="K469" s="1061"/>
      <c r="L469" s="1061"/>
      <c r="M469" s="1125"/>
      <c r="N469" s="1986">
        <f t="shared" ref="N469:R469" si="228">N470</f>
        <v>54.32</v>
      </c>
      <c r="O469" s="1947">
        <f t="shared" si="228"/>
        <v>0</v>
      </c>
      <c r="P469" s="1941">
        <f t="shared" si="228"/>
        <v>0</v>
      </c>
      <c r="Q469" s="1987">
        <f t="shared" si="228"/>
        <v>0</v>
      </c>
      <c r="R469" s="1988">
        <f t="shared" si="228"/>
        <v>0</v>
      </c>
      <c r="V469" s="2150">
        <f t="shared" ref="V469:W469" si="229">V470</f>
        <v>0</v>
      </c>
      <c r="W469" s="2150">
        <f t="shared" si="229"/>
        <v>0</v>
      </c>
    </row>
    <row r="470" spans="1:256" s="2" customFormat="1" ht="39" x14ac:dyDescent="0.3">
      <c r="A470" s="32"/>
      <c r="B470" s="2066" t="s">
        <v>105</v>
      </c>
      <c r="C470" s="88"/>
      <c r="D470" s="88"/>
      <c r="E470" s="88"/>
      <c r="F470" s="112" t="s">
        <v>623</v>
      </c>
      <c r="G470" s="88">
        <v>540</v>
      </c>
      <c r="H470" s="9" t="s">
        <v>456</v>
      </c>
      <c r="I470" s="33" t="s">
        <v>452</v>
      </c>
      <c r="J470" s="1061">
        <v>179.7</v>
      </c>
      <c r="K470" s="1061"/>
      <c r="L470" s="1061"/>
      <c r="M470" s="1125"/>
      <c r="N470" s="1986">
        <v>54.32</v>
      </c>
      <c r="O470" s="1947"/>
      <c r="P470" s="1941"/>
      <c r="Q470" s="1987"/>
      <c r="R470" s="1988"/>
      <c r="V470" s="2150">
        <v>0</v>
      </c>
      <c r="W470" s="2150">
        <v>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ht="39" x14ac:dyDescent="0.25">
      <c r="A471" s="32"/>
      <c r="B471" s="1119" t="s">
        <v>149</v>
      </c>
      <c r="C471" s="88"/>
      <c r="D471" s="88"/>
      <c r="E471" s="88"/>
      <c r="F471" s="113" t="s">
        <v>148</v>
      </c>
      <c r="G471" s="94"/>
      <c r="H471" s="94"/>
      <c r="I471" s="94"/>
      <c r="J471" s="1064">
        <f>J473</f>
        <v>303</v>
      </c>
      <c r="K471" s="1064"/>
      <c r="L471" s="1064"/>
      <c r="M471" s="1552"/>
      <c r="N471" s="1982">
        <f>N473</f>
        <v>321</v>
      </c>
      <c r="O471" s="1994">
        <f>O473</f>
        <v>0</v>
      </c>
      <c r="P471" s="1939">
        <f>P473</f>
        <v>0</v>
      </c>
      <c r="Q471" s="1995">
        <f>Q473</f>
        <v>0</v>
      </c>
      <c r="R471" s="1985">
        <f>R473</f>
        <v>0</v>
      </c>
      <c r="V471" s="2151">
        <f>V473</f>
        <v>0</v>
      </c>
      <c r="W471" s="2151">
        <f>W473</f>
        <v>0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ht="13" x14ac:dyDescent="0.25">
      <c r="A472" s="32"/>
      <c r="B472" s="1119" t="s">
        <v>1069</v>
      </c>
      <c r="C472" s="88"/>
      <c r="D472" s="88"/>
      <c r="E472" s="88"/>
      <c r="F472" s="112" t="s">
        <v>148</v>
      </c>
      <c r="G472" s="88">
        <v>500</v>
      </c>
      <c r="H472" s="94"/>
      <c r="I472" s="94"/>
      <c r="J472" s="1064"/>
      <c r="K472" s="1064"/>
      <c r="L472" s="1064"/>
      <c r="M472" s="1552"/>
      <c r="N472" s="1986">
        <f>N473</f>
        <v>321</v>
      </c>
      <c r="O472" s="1994"/>
      <c r="P472" s="1939"/>
      <c r="Q472" s="1995"/>
      <c r="R472" s="1985"/>
      <c r="V472" s="2151"/>
      <c r="W472" s="2151"/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ht="13" x14ac:dyDescent="0.25">
      <c r="A473" s="32"/>
      <c r="B473" s="1119" t="s">
        <v>130</v>
      </c>
      <c r="C473" s="88"/>
      <c r="D473" s="88"/>
      <c r="E473" s="88"/>
      <c r="F473" s="112" t="s">
        <v>148</v>
      </c>
      <c r="G473" s="88">
        <v>540</v>
      </c>
      <c r="H473" s="88"/>
      <c r="I473" s="88"/>
      <c r="J473" s="1061">
        <f>J474</f>
        <v>303</v>
      </c>
      <c r="K473" s="1061"/>
      <c r="L473" s="1061"/>
      <c r="M473" s="1125"/>
      <c r="N473" s="1986">
        <f t="shared" ref="N473:R473" si="230">N474</f>
        <v>321</v>
      </c>
      <c r="O473" s="1947">
        <f t="shared" si="230"/>
        <v>0</v>
      </c>
      <c r="P473" s="1941">
        <f t="shared" si="230"/>
        <v>0</v>
      </c>
      <c r="Q473" s="1987">
        <f t="shared" si="230"/>
        <v>0</v>
      </c>
      <c r="R473" s="1988">
        <f t="shared" si="230"/>
        <v>0</v>
      </c>
      <c r="V473" s="2150">
        <f t="shared" ref="V473:W473" si="231">V474</f>
        <v>0</v>
      </c>
      <c r="W473" s="2150">
        <f t="shared" si="231"/>
        <v>0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ht="39" x14ac:dyDescent="0.3">
      <c r="A474" s="32"/>
      <c r="B474" s="2066" t="s">
        <v>105</v>
      </c>
      <c r="C474" s="88"/>
      <c r="D474" s="88"/>
      <c r="E474" s="88"/>
      <c r="F474" s="112" t="s">
        <v>148</v>
      </c>
      <c r="G474" s="88">
        <v>540</v>
      </c>
      <c r="H474" s="9" t="s">
        <v>456</v>
      </c>
      <c r="I474" s="33" t="s">
        <v>452</v>
      </c>
      <c r="J474" s="1061">
        <v>303</v>
      </c>
      <c r="K474" s="1061"/>
      <c r="L474" s="1061"/>
      <c r="M474" s="1125"/>
      <c r="N474" s="1986">
        <v>321</v>
      </c>
      <c r="O474" s="1947"/>
      <c r="P474" s="1941"/>
      <c r="Q474" s="1987"/>
      <c r="R474" s="1988"/>
      <c r="V474" s="2150">
        <v>0</v>
      </c>
      <c r="W474" s="2150">
        <v>0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ht="39" hidden="1" x14ac:dyDescent="0.25">
      <c r="A475" s="32"/>
      <c r="B475" s="1098" t="s">
        <v>147</v>
      </c>
      <c r="C475" s="88"/>
      <c r="D475" s="88"/>
      <c r="E475" s="88"/>
      <c r="F475" s="112" t="s">
        <v>146</v>
      </c>
      <c r="G475" s="88">
        <v>540</v>
      </c>
      <c r="H475" s="88"/>
      <c r="I475" s="88"/>
      <c r="J475" s="1061"/>
      <c r="K475" s="1061"/>
      <c r="L475" s="1061"/>
      <c r="M475" s="1125"/>
      <c r="N475" s="1986"/>
      <c r="O475" s="1947"/>
      <c r="P475" s="1941"/>
      <c r="Q475" s="1987"/>
      <c r="R475" s="1988"/>
      <c r="V475" s="2150"/>
      <c r="W475" s="2150"/>
      <c r="Y475" s="1"/>
      <c r="Z475" s="237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ht="39" hidden="1" x14ac:dyDescent="0.3">
      <c r="A476" s="32"/>
      <c r="B476" s="2066" t="s">
        <v>105</v>
      </c>
      <c r="C476" s="88"/>
      <c r="D476" s="88"/>
      <c r="E476" s="88"/>
      <c r="F476" s="112" t="s">
        <v>146</v>
      </c>
      <c r="G476" s="88">
        <v>540</v>
      </c>
      <c r="H476" s="88"/>
      <c r="I476" s="88" t="s">
        <v>103</v>
      </c>
      <c r="J476" s="1061"/>
      <c r="K476" s="1061"/>
      <c r="L476" s="1061"/>
      <c r="M476" s="1125"/>
      <c r="N476" s="1986"/>
      <c r="O476" s="1947"/>
      <c r="P476" s="1941"/>
      <c r="Q476" s="1987"/>
      <c r="R476" s="1988"/>
      <c r="V476" s="2150"/>
      <c r="W476" s="2150"/>
      <c r="Y476" s="1"/>
      <c r="Z476" s="237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ht="52" hidden="1" x14ac:dyDescent="0.25">
      <c r="A477" s="32"/>
      <c r="B477" s="1120" t="s">
        <v>145</v>
      </c>
      <c r="C477" s="88"/>
      <c r="D477" s="88"/>
      <c r="E477" s="88"/>
      <c r="F477" s="113" t="s">
        <v>144</v>
      </c>
      <c r="G477" s="94"/>
      <c r="H477" s="94"/>
      <c r="I477" s="94"/>
      <c r="J477" s="1064">
        <f>J478</f>
        <v>169.6</v>
      </c>
      <c r="K477" s="1064"/>
      <c r="L477" s="1064"/>
      <c r="M477" s="1552"/>
      <c r="N477" s="1982">
        <f t="shared" ref="N477:R478" si="232">N478</f>
        <v>0</v>
      </c>
      <c r="O477" s="1994">
        <f t="shared" si="232"/>
        <v>0</v>
      </c>
      <c r="P477" s="1939">
        <f t="shared" si="232"/>
        <v>0</v>
      </c>
      <c r="Q477" s="1995">
        <f t="shared" si="232"/>
        <v>0</v>
      </c>
      <c r="R477" s="1985">
        <f t="shared" si="232"/>
        <v>0</v>
      </c>
      <c r="V477" s="2151">
        <f t="shared" ref="V477:W478" si="233">V478</f>
        <v>0</v>
      </c>
      <c r="W477" s="2151">
        <f t="shared" si="233"/>
        <v>0</v>
      </c>
      <c r="Y477" s="1"/>
      <c r="Z477" s="23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ht="13" hidden="1" x14ac:dyDescent="0.25">
      <c r="A478" s="32"/>
      <c r="B478" s="1120" t="s">
        <v>130</v>
      </c>
      <c r="C478" s="88"/>
      <c r="D478" s="88"/>
      <c r="E478" s="88"/>
      <c r="F478" s="112" t="s">
        <v>144</v>
      </c>
      <c r="G478" s="88">
        <v>540</v>
      </c>
      <c r="H478" s="88"/>
      <c r="I478" s="88"/>
      <c r="J478" s="1061">
        <f>J479</f>
        <v>169.6</v>
      </c>
      <c r="K478" s="1061"/>
      <c r="L478" s="1061"/>
      <c r="M478" s="1125"/>
      <c r="N478" s="1986">
        <f t="shared" si="232"/>
        <v>0</v>
      </c>
      <c r="O478" s="1947">
        <f t="shared" si="232"/>
        <v>0</v>
      </c>
      <c r="P478" s="1941">
        <f t="shared" si="232"/>
        <v>0</v>
      </c>
      <c r="Q478" s="1987">
        <f t="shared" si="232"/>
        <v>0</v>
      </c>
      <c r="R478" s="1988">
        <f t="shared" si="232"/>
        <v>0</v>
      </c>
      <c r="V478" s="2150">
        <f t="shared" si="233"/>
        <v>0</v>
      </c>
      <c r="W478" s="2150">
        <f t="shared" si="233"/>
        <v>0</v>
      </c>
      <c r="Y478" s="1"/>
      <c r="Z478" s="237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ht="39" hidden="1" x14ac:dyDescent="0.3">
      <c r="A479" s="32"/>
      <c r="B479" s="2066" t="s">
        <v>105</v>
      </c>
      <c r="C479" s="88"/>
      <c r="D479" s="88"/>
      <c r="E479" s="88"/>
      <c r="F479" s="112" t="s">
        <v>144</v>
      </c>
      <c r="G479" s="88">
        <v>540</v>
      </c>
      <c r="H479" s="9" t="s">
        <v>456</v>
      </c>
      <c r="I479" s="33" t="s">
        <v>452</v>
      </c>
      <c r="J479" s="1061">
        <v>169.6</v>
      </c>
      <c r="K479" s="1061"/>
      <c r="L479" s="1061"/>
      <c r="M479" s="1125"/>
      <c r="N479" s="1986">
        <v>0</v>
      </c>
      <c r="O479" s="1947"/>
      <c r="P479" s="1941"/>
      <c r="Q479" s="1987">
        <v>0</v>
      </c>
      <c r="R479" s="1988">
        <v>0</v>
      </c>
      <c r="V479" s="2150">
        <v>0</v>
      </c>
      <c r="W479" s="2150">
        <v>0</v>
      </c>
      <c r="Y479" s="1"/>
      <c r="Z479" s="237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ht="39" hidden="1" x14ac:dyDescent="0.25">
      <c r="A480" s="32"/>
      <c r="B480" s="1093" t="s">
        <v>111</v>
      </c>
      <c r="C480" s="88"/>
      <c r="D480" s="88"/>
      <c r="E480" s="88"/>
      <c r="F480" s="34" t="s">
        <v>110</v>
      </c>
      <c r="G480" s="88"/>
      <c r="H480" s="88"/>
      <c r="I480" s="88"/>
      <c r="J480" s="1064">
        <f>J481</f>
        <v>0</v>
      </c>
      <c r="K480" s="1061"/>
      <c r="L480" s="1061"/>
      <c r="M480" s="1125"/>
      <c r="N480" s="1982">
        <f t="shared" ref="N480:R483" si="234">N481</f>
        <v>0</v>
      </c>
      <c r="O480" s="1994">
        <f t="shared" si="234"/>
        <v>0</v>
      </c>
      <c r="P480" s="1939">
        <f t="shared" si="234"/>
        <v>0</v>
      </c>
      <c r="Q480" s="1995">
        <f t="shared" si="234"/>
        <v>0</v>
      </c>
      <c r="R480" s="1985">
        <f t="shared" si="234"/>
        <v>0</v>
      </c>
      <c r="V480" s="2151">
        <f t="shared" ref="V480:W483" si="235">V481</f>
        <v>0</v>
      </c>
      <c r="W480" s="2151">
        <f t="shared" si="235"/>
        <v>0</v>
      </c>
      <c r="Y480" s="1"/>
      <c r="Z480" s="237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ht="21" hidden="1" customHeight="1" x14ac:dyDescent="0.25">
      <c r="A481" s="32"/>
      <c r="B481" s="1093" t="s">
        <v>109</v>
      </c>
      <c r="C481" s="88"/>
      <c r="D481" s="88"/>
      <c r="E481" s="88"/>
      <c r="F481" s="9" t="s">
        <v>108</v>
      </c>
      <c r="G481" s="88"/>
      <c r="H481" s="88"/>
      <c r="I481" s="88"/>
      <c r="J481" s="1061">
        <f>J482</f>
        <v>0</v>
      </c>
      <c r="K481" s="1061"/>
      <c r="L481" s="1061"/>
      <c r="M481" s="1125"/>
      <c r="N481" s="1986">
        <f t="shared" si="234"/>
        <v>0</v>
      </c>
      <c r="O481" s="1947">
        <f t="shared" si="234"/>
        <v>0</v>
      </c>
      <c r="P481" s="1941">
        <f t="shared" si="234"/>
        <v>0</v>
      </c>
      <c r="Q481" s="1987">
        <f t="shared" si="234"/>
        <v>0</v>
      </c>
      <c r="R481" s="1988">
        <f t="shared" si="234"/>
        <v>0</v>
      </c>
      <c r="V481" s="2150">
        <f t="shared" si="235"/>
        <v>0</v>
      </c>
      <c r="W481" s="2150">
        <f t="shared" si="235"/>
        <v>0</v>
      </c>
      <c r="Y481" s="1"/>
      <c r="Z481" s="237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ht="26" hidden="1" x14ac:dyDescent="0.25">
      <c r="A482" s="32"/>
      <c r="B482" s="49" t="s">
        <v>107</v>
      </c>
      <c r="C482" s="88" t="s">
        <v>106</v>
      </c>
      <c r="D482" s="88" t="s">
        <v>69</v>
      </c>
      <c r="E482" s="88" t="s">
        <v>103</v>
      </c>
      <c r="F482" s="9" t="s">
        <v>104</v>
      </c>
      <c r="G482" s="9"/>
      <c r="H482" s="9"/>
      <c r="I482" s="88"/>
      <c r="J482" s="1060">
        <f>J483</f>
        <v>0</v>
      </c>
      <c r="K482" s="1059"/>
      <c r="L482" s="1059">
        <f>L483</f>
        <v>1223.8879999999999</v>
      </c>
      <c r="M482" s="1555">
        <f>M483</f>
        <v>1309.56</v>
      </c>
      <c r="N482" s="1998">
        <f t="shared" si="234"/>
        <v>0</v>
      </c>
      <c r="O482" s="1999">
        <f t="shared" si="234"/>
        <v>0</v>
      </c>
      <c r="P482" s="1937">
        <f t="shared" si="234"/>
        <v>0</v>
      </c>
      <c r="Q482" s="2000">
        <f t="shared" si="234"/>
        <v>0</v>
      </c>
      <c r="R482" s="2001">
        <f t="shared" si="234"/>
        <v>0</v>
      </c>
      <c r="V482" s="2149">
        <f t="shared" si="235"/>
        <v>0</v>
      </c>
      <c r="W482" s="2149">
        <f t="shared" si="235"/>
        <v>0</v>
      </c>
      <c r="Y482" s="1"/>
      <c r="Z482" s="237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ht="13" hidden="1" x14ac:dyDescent="0.3">
      <c r="A483" s="32"/>
      <c r="B483" s="744" t="s">
        <v>7</v>
      </c>
      <c r="C483" s="88"/>
      <c r="D483" s="88" t="s">
        <v>69</v>
      </c>
      <c r="E483" s="88" t="s">
        <v>103</v>
      </c>
      <c r="F483" s="9" t="s">
        <v>104</v>
      </c>
      <c r="G483" s="88">
        <v>120</v>
      </c>
      <c r="H483" s="88"/>
      <c r="I483" s="88"/>
      <c r="J483" s="1060">
        <f>J484</f>
        <v>0</v>
      </c>
      <c r="K483" s="1060"/>
      <c r="L483" s="1061">
        <v>1223.8879999999999</v>
      </c>
      <c r="M483" s="1550">
        <v>1309.56</v>
      </c>
      <c r="N483" s="1998">
        <f t="shared" si="234"/>
        <v>0</v>
      </c>
      <c r="O483" s="1999">
        <f t="shared" si="234"/>
        <v>0</v>
      </c>
      <c r="P483" s="1937">
        <f t="shared" si="234"/>
        <v>0</v>
      </c>
      <c r="Q483" s="2000">
        <f t="shared" si="234"/>
        <v>0</v>
      </c>
      <c r="R483" s="2001">
        <f t="shared" si="234"/>
        <v>0</v>
      </c>
      <c r="V483" s="2149">
        <f t="shared" si="235"/>
        <v>0</v>
      </c>
      <c r="W483" s="2149">
        <f t="shared" si="235"/>
        <v>0</v>
      </c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ht="39" hidden="1" x14ac:dyDescent="0.3">
      <c r="A484" s="32"/>
      <c r="B484" s="2066" t="s">
        <v>105</v>
      </c>
      <c r="C484" s="88"/>
      <c r="D484" s="88"/>
      <c r="E484" s="88"/>
      <c r="F484" s="9" t="s">
        <v>104</v>
      </c>
      <c r="G484" s="88">
        <v>120</v>
      </c>
      <c r="H484" s="88"/>
      <c r="I484" s="88" t="s">
        <v>103</v>
      </c>
      <c r="J484" s="1060"/>
      <c r="K484" s="1060"/>
      <c r="L484" s="1061">
        <v>1223.8879999999999</v>
      </c>
      <c r="M484" s="1550">
        <v>1309.56</v>
      </c>
      <c r="N484" s="1998"/>
      <c r="O484" s="1999"/>
      <c r="P484" s="1937"/>
      <c r="Q484" s="2000"/>
      <c r="R484" s="2001"/>
      <c r="V484" s="2149"/>
      <c r="W484" s="2149"/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ht="65" hidden="1" x14ac:dyDescent="0.25">
      <c r="A485" s="32"/>
      <c r="B485" s="90" t="s">
        <v>784</v>
      </c>
      <c r="C485" s="88"/>
      <c r="D485" s="88" t="s">
        <v>69</v>
      </c>
      <c r="E485" s="88" t="s">
        <v>103</v>
      </c>
      <c r="F485" s="34" t="s">
        <v>141</v>
      </c>
      <c r="G485" s="9"/>
      <c r="H485" s="9"/>
      <c r="I485" s="88"/>
      <c r="J485" s="1065">
        <f>J486</f>
        <v>0</v>
      </c>
      <c r="K485" s="1065"/>
      <c r="L485" s="1065">
        <f t="shared" ref="L485:R485" si="236">L486</f>
        <v>171.8</v>
      </c>
      <c r="M485" s="1552">
        <f t="shared" si="236"/>
        <v>171.8</v>
      </c>
      <c r="N485" s="1982">
        <f t="shared" si="236"/>
        <v>0</v>
      </c>
      <c r="O485" s="1994">
        <f t="shared" si="236"/>
        <v>0</v>
      </c>
      <c r="P485" s="1939">
        <f t="shared" si="236"/>
        <v>0</v>
      </c>
      <c r="Q485" s="1995">
        <f t="shared" si="236"/>
        <v>0</v>
      </c>
      <c r="R485" s="1985">
        <f t="shared" si="236"/>
        <v>0</v>
      </c>
      <c r="V485" s="2151">
        <f t="shared" ref="V485:W485" si="237">V486</f>
        <v>0</v>
      </c>
      <c r="W485" s="2151">
        <f t="shared" si="237"/>
        <v>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ht="13" hidden="1" x14ac:dyDescent="0.3">
      <c r="A486" s="32"/>
      <c r="B486" s="744" t="s">
        <v>142</v>
      </c>
      <c r="C486" s="88"/>
      <c r="D486" s="88" t="s">
        <v>69</v>
      </c>
      <c r="E486" s="88" t="s">
        <v>103</v>
      </c>
      <c r="F486" s="9" t="s">
        <v>141</v>
      </c>
      <c r="G486" s="9" t="s">
        <v>140</v>
      </c>
      <c r="H486" s="9"/>
      <c r="I486" s="88"/>
      <c r="J486" s="1063">
        <f>J487</f>
        <v>0</v>
      </c>
      <c r="K486" s="1063"/>
      <c r="L486" s="1063">
        <v>171.8</v>
      </c>
      <c r="M486" s="1125">
        <v>171.8</v>
      </c>
      <c r="N486" s="1986">
        <f>N487</f>
        <v>0</v>
      </c>
      <c r="O486" s="1947">
        <f>O487</f>
        <v>0</v>
      </c>
      <c r="P486" s="1941">
        <f>P487</f>
        <v>0</v>
      </c>
      <c r="Q486" s="1987">
        <f>Q487</f>
        <v>0</v>
      </c>
      <c r="R486" s="1988">
        <f>R487</f>
        <v>0</v>
      </c>
      <c r="V486" s="2150">
        <f>V487</f>
        <v>0</v>
      </c>
      <c r="W486" s="2150">
        <f>W487</f>
        <v>0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ht="39" hidden="1" x14ac:dyDescent="0.3">
      <c r="A487" s="32"/>
      <c r="B487" s="2066" t="s">
        <v>105</v>
      </c>
      <c r="C487" s="88"/>
      <c r="D487" s="88"/>
      <c r="E487" s="88"/>
      <c r="F487" s="9" t="s">
        <v>141</v>
      </c>
      <c r="G487" s="9" t="s">
        <v>140</v>
      </c>
      <c r="H487" s="9"/>
      <c r="I487" s="88" t="s">
        <v>103</v>
      </c>
      <c r="J487" s="1063"/>
      <c r="K487" s="1063"/>
      <c r="L487" s="1063">
        <v>171.8</v>
      </c>
      <c r="M487" s="1125">
        <v>171.8</v>
      </c>
      <c r="N487" s="1986"/>
      <c r="O487" s="1947"/>
      <c r="P487" s="1941"/>
      <c r="Q487" s="1987"/>
      <c r="R487" s="1988"/>
      <c r="V487" s="2150"/>
      <c r="W487" s="2150"/>
    </row>
    <row r="488" spans="1:256" ht="75.650000000000006" hidden="1" customHeight="1" x14ac:dyDescent="0.25">
      <c r="A488" s="32"/>
      <c r="B488" s="111" t="s">
        <v>785</v>
      </c>
      <c r="C488" s="88"/>
      <c r="D488" s="9" t="s">
        <v>69</v>
      </c>
      <c r="E488" s="9" t="s">
        <v>103</v>
      </c>
      <c r="F488" s="34" t="s">
        <v>136</v>
      </c>
      <c r="G488" s="9"/>
      <c r="H488" s="9"/>
      <c r="I488" s="9"/>
      <c r="J488" s="1065">
        <f>J490</f>
        <v>0</v>
      </c>
      <c r="K488" s="1065"/>
      <c r="L488" s="1065">
        <f t="shared" ref="L488:R488" si="238">L490</f>
        <v>263</v>
      </c>
      <c r="M488" s="1552">
        <f t="shared" si="238"/>
        <v>263</v>
      </c>
      <c r="N488" s="1982">
        <f t="shared" si="238"/>
        <v>0</v>
      </c>
      <c r="O488" s="1994">
        <f t="shared" si="238"/>
        <v>0</v>
      </c>
      <c r="P488" s="1939">
        <f t="shared" si="238"/>
        <v>0</v>
      </c>
      <c r="Q488" s="1995">
        <f t="shared" si="238"/>
        <v>0</v>
      </c>
      <c r="R488" s="1985">
        <f t="shared" si="238"/>
        <v>0</v>
      </c>
      <c r="V488" s="2151">
        <f t="shared" ref="V488:W488" si="239">V490</f>
        <v>0</v>
      </c>
      <c r="W488" s="2151">
        <f t="shared" si="239"/>
        <v>0</v>
      </c>
    </row>
    <row r="489" spans="1:256" ht="18" hidden="1" customHeight="1" x14ac:dyDescent="0.25">
      <c r="A489" s="32"/>
      <c r="B489" s="42" t="s">
        <v>138</v>
      </c>
      <c r="C489" s="9"/>
      <c r="D489" s="9" t="s">
        <v>69</v>
      </c>
      <c r="E489" s="9" t="s">
        <v>103</v>
      </c>
      <c r="F489" s="9" t="s">
        <v>137</v>
      </c>
      <c r="G489" s="9"/>
      <c r="H489" s="9"/>
      <c r="I489" s="9" t="s">
        <v>103</v>
      </c>
      <c r="J489" s="1062"/>
      <c r="K489" s="1062"/>
      <c r="L489" s="1062"/>
      <c r="M489" s="1556"/>
      <c r="N489" s="1998"/>
      <c r="O489" s="1999"/>
      <c r="P489" s="1937"/>
      <c r="Q489" s="2000"/>
      <c r="R489" s="2001"/>
      <c r="V489" s="2149"/>
      <c r="W489" s="2149"/>
    </row>
    <row r="490" spans="1:256" ht="15" hidden="1" customHeight="1" x14ac:dyDescent="0.3">
      <c r="A490" s="32"/>
      <c r="B490" s="744" t="s">
        <v>123</v>
      </c>
      <c r="C490" s="9"/>
      <c r="D490" s="9" t="s">
        <v>69</v>
      </c>
      <c r="E490" s="9" t="s">
        <v>103</v>
      </c>
      <c r="F490" s="9" t="s">
        <v>136</v>
      </c>
      <c r="G490" s="9" t="s">
        <v>120</v>
      </c>
      <c r="H490" s="9"/>
      <c r="I490" s="9"/>
      <c r="J490" s="1062">
        <f>J491</f>
        <v>0</v>
      </c>
      <c r="K490" s="1062"/>
      <c r="L490" s="1062">
        <v>263</v>
      </c>
      <c r="M490" s="1556">
        <v>263</v>
      </c>
      <c r="N490" s="1998">
        <f>N491</f>
        <v>0</v>
      </c>
      <c r="O490" s="1999">
        <f>O491</f>
        <v>0</v>
      </c>
      <c r="P490" s="1937">
        <f>P491</f>
        <v>0</v>
      </c>
      <c r="Q490" s="2000">
        <f>Q491</f>
        <v>0</v>
      </c>
      <c r="R490" s="2001">
        <f>R491</f>
        <v>0</v>
      </c>
      <c r="V490" s="2149">
        <f>V491</f>
        <v>0</v>
      </c>
      <c r="W490" s="2149">
        <f>W491</f>
        <v>0</v>
      </c>
    </row>
    <row r="491" spans="1:256" ht="42" hidden="1" customHeight="1" x14ac:dyDescent="0.3">
      <c r="A491" s="32"/>
      <c r="B491" s="2066" t="s">
        <v>105</v>
      </c>
      <c r="C491" s="9"/>
      <c r="D491" s="9"/>
      <c r="E491" s="9"/>
      <c r="F491" s="9" t="s">
        <v>136</v>
      </c>
      <c r="G491" s="9" t="s">
        <v>120</v>
      </c>
      <c r="H491" s="9"/>
      <c r="I491" s="9" t="s">
        <v>103</v>
      </c>
      <c r="J491" s="1062"/>
      <c r="K491" s="1062"/>
      <c r="L491" s="1062">
        <v>263</v>
      </c>
      <c r="M491" s="1556">
        <v>263</v>
      </c>
      <c r="N491" s="1998"/>
      <c r="O491" s="1999"/>
      <c r="P491" s="1937"/>
      <c r="Q491" s="2000"/>
      <c r="R491" s="2001"/>
      <c r="V491" s="2149"/>
      <c r="W491" s="2149"/>
    </row>
    <row r="492" spans="1:256" ht="99" hidden="1" customHeight="1" x14ac:dyDescent="0.25">
      <c r="A492" s="32"/>
      <c r="B492" s="110" t="s">
        <v>786</v>
      </c>
      <c r="C492" s="9"/>
      <c r="D492" s="9" t="s">
        <v>69</v>
      </c>
      <c r="E492" s="9" t="s">
        <v>103</v>
      </c>
      <c r="F492" s="34" t="s">
        <v>132</v>
      </c>
      <c r="G492" s="9"/>
      <c r="H492" s="9"/>
      <c r="I492" s="9"/>
      <c r="J492" s="1058">
        <f>J493</f>
        <v>0</v>
      </c>
      <c r="K492" s="1058"/>
      <c r="L492" s="1058">
        <f t="shared" ref="L492:R492" si="240">L493</f>
        <v>130.1</v>
      </c>
      <c r="M492" s="1555">
        <f t="shared" si="240"/>
        <v>130.1</v>
      </c>
      <c r="N492" s="1989">
        <f t="shared" si="240"/>
        <v>0</v>
      </c>
      <c r="O492" s="1990">
        <f t="shared" si="240"/>
        <v>0</v>
      </c>
      <c r="P492" s="1934">
        <f t="shared" si="240"/>
        <v>0</v>
      </c>
      <c r="Q492" s="1991">
        <f t="shared" si="240"/>
        <v>0</v>
      </c>
      <c r="R492" s="1992">
        <f t="shared" si="240"/>
        <v>0</v>
      </c>
      <c r="V492" s="2152">
        <f t="shared" ref="V492:W492" si="241">V493</f>
        <v>0</v>
      </c>
      <c r="W492" s="2152">
        <f t="shared" si="241"/>
        <v>0</v>
      </c>
    </row>
    <row r="493" spans="1:256" ht="15" hidden="1" customHeight="1" x14ac:dyDescent="0.3">
      <c r="A493" s="32"/>
      <c r="B493" s="744" t="s">
        <v>123</v>
      </c>
      <c r="C493" s="9"/>
      <c r="D493" s="9" t="s">
        <v>69</v>
      </c>
      <c r="E493" s="9" t="s">
        <v>103</v>
      </c>
      <c r="F493" s="9" t="s">
        <v>132</v>
      </c>
      <c r="G493" s="9" t="s">
        <v>120</v>
      </c>
      <c r="H493" s="9"/>
      <c r="I493" s="9"/>
      <c r="J493" s="1062">
        <f>J495</f>
        <v>0</v>
      </c>
      <c r="K493" s="1062"/>
      <c r="L493" s="1062">
        <v>130.1</v>
      </c>
      <c r="M493" s="1556">
        <v>130.1</v>
      </c>
      <c r="N493" s="1998">
        <f>N495</f>
        <v>0</v>
      </c>
      <c r="O493" s="1999">
        <f>O495</f>
        <v>0</v>
      </c>
      <c r="P493" s="1937">
        <f>P495</f>
        <v>0</v>
      </c>
      <c r="Q493" s="2000">
        <f>Q495</f>
        <v>0</v>
      </c>
      <c r="R493" s="2001">
        <f>R495</f>
        <v>0</v>
      </c>
      <c r="V493" s="2149">
        <f>V495</f>
        <v>0</v>
      </c>
      <c r="W493" s="2149">
        <f>W495</f>
        <v>0</v>
      </c>
    </row>
    <row r="494" spans="1:256" ht="60.65" hidden="1" customHeight="1" x14ac:dyDescent="0.25">
      <c r="A494" s="32"/>
      <c r="B494" s="109" t="s">
        <v>134</v>
      </c>
      <c r="C494" s="88"/>
      <c r="D494" s="88" t="s">
        <v>69</v>
      </c>
      <c r="E494" s="88" t="s">
        <v>103</v>
      </c>
      <c r="F494" s="9" t="s">
        <v>133</v>
      </c>
      <c r="G494" s="9"/>
      <c r="H494" s="9"/>
      <c r="I494" s="88" t="s">
        <v>103</v>
      </c>
      <c r="J494" s="1062"/>
      <c r="K494" s="1062"/>
      <c r="L494" s="1062"/>
      <c r="M494" s="1556"/>
      <c r="N494" s="1998"/>
      <c r="O494" s="1999"/>
      <c r="P494" s="1937"/>
      <c r="Q494" s="2000"/>
      <c r="R494" s="2001"/>
      <c r="V494" s="2149"/>
      <c r="W494" s="2149"/>
    </row>
    <row r="495" spans="1:256" ht="40.15" hidden="1" customHeight="1" x14ac:dyDescent="0.3">
      <c r="A495" s="32"/>
      <c r="B495" s="2012" t="s">
        <v>105</v>
      </c>
      <c r="C495" s="88"/>
      <c r="D495" s="88"/>
      <c r="E495" s="88"/>
      <c r="F495" s="9" t="s">
        <v>132</v>
      </c>
      <c r="G495" s="9" t="s">
        <v>120</v>
      </c>
      <c r="H495" s="9"/>
      <c r="I495" s="9" t="s">
        <v>103</v>
      </c>
      <c r="J495" s="1062"/>
      <c r="K495" s="1062"/>
      <c r="L495" s="1062">
        <v>130.1</v>
      </c>
      <c r="M495" s="1556">
        <v>130.1</v>
      </c>
      <c r="N495" s="1998"/>
      <c r="O495" s="1999"/>
      <c r="P495" s="1937"/>
      <c r="Q495" s="2000"/>
      <c r="R495" s="2001"/>
      <c r="V495" s="2149"/>
      <c r="W495" s="2149"/>
    </row>
    <row r="496" spans="1:256" ht="40.15" customHeight="1" x14ac:dyDescent="0.3">
      <c r="A496" s="32"/>
      <c r="B496" s="336" t="s">
        <v>131</v>
      </c>
      <c r="C496" s="88"/>
      <c r="D496" s="88"/>
      <c r="E496" s="88"/>
      <c r="F496" s="34" t="s">
        <v>129</v>
      </c>
      <c r="G496" s="34"/>
      <c r="H496" s="34"/>
      <c r="I496" s="34"/>
      <c r="J496" s="1058">
        <f>J499</f>
        <v>170.1</v>
      </c>
      <c r="K496" s="1058"/>
      <c r="L496" s="1058"/>
      <c r="M496" s="1555"/>
      <c r="N496" s="1989">
        <f>N498</f>
        <v>419.70300000000003</v>
      </c>
      <c r="O496" s="1990">
        <f>O499</f>
        <v>0</v>
      </c>
      <c r="P496" s="1934">
        <f>P499</f>
        <v>0</v>
      </c>
      <c r="Q496" s="1991"/>
      <c r="R496" s="1992"/>
      <c r="V496" s="2152">
        <f>V498</f>
        <v>0</v>
      </c>
      <c r="W496" s="2152">
        <f>W498</f>
        <v>0</v>
      </c>
    </row>
    <row r="497" spans="1:256" ht="15" customHeight="1" x14ac:dyDescent="0.3">
      <c r="A497" s="32"/>
      <c r="B497" s="336" t="s">
        <v>1069</v>
      </c>
      <c r="C497" s="88"/>
      <c r="D497" s="88"/>
      <c r="E497" s="88"/>
      <c r="F497" s="9" t="s">
        <v>129</v>
      </c>
      <c r="G497" s="9" t="s">
        <v>1066</v>
      </c>
      <c r="H497" s="34"/>
      <c r="I497" s="34"/>
      <c r="J497" s="1058"/>
      <c r="K497" s="1058"/>
      <c r="L497" s="1058"/>
      <c r="M497" s="1555"/>
      <c r="N497" s="1998">
        <f>N498</f>
        <v>419.70300000000003</v>
      </c>
      <c r="O497" s="1990"/>
      <c r="P497" s="1934"/>
      <c r="Q497" s="1991"/>
      <c r="R497" s="1992"/>
      <c r="V497" s="2149">
        <f t="shared" ref="V497:W497" si="242">V498</f>
        <v>0</v>
      </c>
      <c r="W497" s="2149">
        <f t="shared" si="242"/>
        <v>0</v>
      </c>
    </row>
    <row r="498" spans="1:256" ht="13" x14ac:dyDescent="0.25">
      <c r="A498" s="32"/>
      <c r="B498" s="1120" t="s">
        <v>130</v>
      </c>
      <c r="C498" s="88"/>
      <c r="D498" s="88"/>
      <c r="E498" s="88"/>
      <c r="F498" s="9" t="s">
        <v>129</v>
      </c>
      <c r="G498" s="9" t="s">
        <v>120</v>
      </c>
      <c r="H498" s="9"/>
      <c r="I498" s="9"/>
      <c r="J498" s="1062"/>
      <c r="K498" s="1062"/>
      <c r="L498" s="1062"/>
      <c r="M498" s="1556"/>
      <c r="N498" s="1998">
        <f>N499</f>
        <v>419.70300000000003</v>
      </c>
      <c r="O498" s="1999">
        <f>O499</f>
        <v>0</v>
      </c>
      <c r="P498" s="1937">
        <f>P499</f>
        <v>0</v>
      </c>
      <c r="Q498" s="2000"/>
      <c r="R498" s="2001"/>
      <c r="V498" s="2149">
        <f>V499</f>
        <v>0</v>
      </c>
      <c r="W498" s="2149">
        <f>W499</f>
        <v>0</v>
      </c>
    </row>
    <row r="499" spans="1:256" ht="26" x14ac:dyDescent="0.3">
      <c r="A499" s="32"/>
      <c r="B499" s="2012" t="s">
        <v>122</v>
      </c>
      <c r="C499" s="88"/>
      <c r="D499" s="88"/>
      <c r="E499" s="88"/>
      <c r="F499" s="9" t="s">
        <v>129</v>
      </c>
      <c r="G499" s="9" t="s">
        <v>120</v>
      </c>
      <c r="H499" s="9" t="s">
        <v>456</v>
      </c>
      <c r="I499" s="33" t="s">
        <v>585</v>
      </c>
      <c r="J499" s="1062">
        <v>170.1</v>
      </c>
      <c r="K499" s="1062"/>
      <c r="L499" s="1062"/>
      <c r="M499" s="1556"/>
      <c r="N499" s="1998">
        <f>419.73-0.027</f>
        <v>419.70300000000003</v>
      </c>
      <c r="O499" s="1999"/>
      <c r="P499" s="1937"/>
      <c r="Q499" s="2000"/>
      <c r="R499" s="2001"/>
      <c r="V499" s="2149">
        <v>0</v>
      </c>
      <c r="W499" s="2149">
        <v>0</v>
      </c>
    </row>
    <row r="500" spans="1:256" ht="39" x14ac:dyDescent="0.25">
      <c r="A500" s="32"/>
      <c r="B500" s="107" t="s">
        <v>128</v>
      </c>
      <c r="C500" s="88"/>
      <c r="D500" s="88" t="s">
        <v>69</v>
      </c>
      <c r="E500" s="88" t="s">
        <v>103</v>
      </c>
      <c r="F500" s="34" t="s">
        <v>127</v>
      </c>
      <c r="G500" s="9"/>
      <c r="H500" s="9"/>
      <c r="I500" s="88"/>
      <c r="J500" s="1058">
        <f>J501+J504</f>
        <v>547.5</v>
      </c>
      <c r="K500" s="1058"/>
      <c r="L500" s="1058">
        <f t="shared" ref="L500:R500" si="243">L501+L504</f>
        <v>546.70000000000005</v>
      </c>
      <c r="M500" s="1555">
        <f t="shared" si="243"/>
        <v>546.70000000000005</v>
      </c>
      <c r="N500" s="2068">
        <f>N504</f>
        <v>7.04</v>
      </c>
      <c r="O500" s="2069">
        <f t="shared" si="243"/>
        <v>37.200000000000003</v>
      </c>
      <c r="P500" s="2070">
        <f t="shared" si="243"/>
        <v>37.200000000000003</v>
      </c>
      <c r="Q500" s="2071">
        <f t="shared" si="243"/>
        <v>7.1</v>
      </c>
      <c r="R500" s="2072">
        <f t="shared" si="243"/>
        <v>7.1</v>
      </c>
      <c r="S500" s="830">
        <v>-648.9</v>
      </c>
      <c r="T500" s="830">
        <v>-648.9</v>
      </c>
      <c r="U500" s="830">
        <v>-648.9</v>
      </c>
      <c r="V500" s="2068">
        <f>V504</f>
        <v>7.04</v>
      </c>
      <c r="W500" s="2068">
        <f>W504</f>
        <v>7.04</v>
      </c>
    </row>
    <row r="501" spans="1:256" ht="13" hidden="1" x14ac:dyDescent="0.3">
      <c r="A501" s="32"/>
      <c r="B501" s="2056" t="s">
        <v>7</v>
      </c>
      <c r="C501" s="88"/>
      <c r="D501" s="88" t="s">
        <v>69</v>
      </c>
      <c r="E501" s="88" t="s">
        <v>103</v>
      </c>
      <c r="F501" s="9" t="s">
        <v>127</v>
      </c>
      <c r="G501" s="9" t="s">
        <v>5</v>
      </c>
      <c r="H501" s="9"/>
      <c r="I501" s="88"/>
      <c r="J501" s="1062">
        <f>J502</f>
        <v>510.3</v>
      </c>
      <c r="K501" s="1062"/>
      <c r="L501" s="1062">
        <f>546.7-45.2</f>
        <v>501.50000000000006</v>
      </c>
      <c r="M501" s="1556">
        <f>546.7-45.2</f>
        <v>501.50000000000006</v>
      </c>
      <c r="N501" s="1998">
        <f>N502</f>
        <v>0</v>
      </c>
      <c r="O501" s="1999">
        <f>O502</f>
        <v>0</v>
      </c>
      <c r="P501" s="1937">
        <f>P502</f>
        <v>0</v>
      </c>
      <c r="Q501" s="2000">
        <f>Q502</f>
        <v>0</v>
      </c>
      <c r="R501" s="2001">
        <f>R502</f>
        <v>0</v>
      </c>
      <c r="V501" s="1998">
        <f>V502</f>
        <v>0</v>
      </c>
      <c r="W501" s="1998">
        <f>W502</f>
        <v>0</v>
      </c>
    </row>
    <row r="502" spans="1:256" s="6" customFormat="1" ht="33.65" hidden="1" customHeight="1" x14ac:dyDescent="0.25">
      <c r="A502" s="839"/>
      <c r="B502" s="52" t="s">
        <v>833</v>
      </c>
      <c r="C502" s="76"/>
      <c r="D502" s="76"/>
      <c r="E502" s="76"/>
      <c r="F502" s="9" t="s">
        <v>127</v>
      </c>
      <c r="G502" s="9" t="s">
        <v>5</v>
      </c>
      <c r="H502" s="9" t="s">
        <v>495</v>
      </c>
      <c r="I502" s="9" t="s">
        <v>832</v>
      </c>
      <c r="J502" s="1121">
        <f>392.863+117.437</f>
        <v>510.3</v>
      </c>
      <c r="K502" s="1121"/>
      <c r="L502" s="1121">
        <f>546.7-45.2</f>
        <v>501.50000000000006</v>
      </c>
      <c r="M502" s="1568">
        <f>546.7-45.2</f>
        <v>501.50000000000006</v>
      </c>
      <c r="N502" s="1998"/>
      <c r="O502" s="2073"/>
      <c r="P502" s="2074"/>
      <c r="Q502" s="2000"/>
      <c r="R502" s="2001"/>
      <c r="S502" s="750"/>
      <c r="T502" s="750"/>
      <c r="U502" s="750"/>
      <c r="V502" s="1998"/>
      <c r="W502" s="1998"/>
      <c r="X502" s="750"/>
      <c r="Z502" s="2144"/>
    </row>
    <row r="503" spans="1:256" s="6" customFormat="1" ht="25" customHeight="1" x14ac:dyDescent="0.25">
      <c r="A503" s="839"/>
      <c r="B503" s="724" t="s">
        <v>948</v>
      </c>
      <c r="C503" s="76"/>
      <c r="D503" s="76"/>
      <c r="E503" s="76"/>
      <c r="F503" s="9" t="s">
        <v>127</v>
      </c>
      <c r="G503" s="9" t="s">
        <v>955</v>
      </c>
      <c r="H503" s="9"/>
      <c r="I503" s="9"/>
      <c r="J503" s="1121"/>
      <c r="K503" s="1121"/>
      <c r="L503" s="1121"/>
      <c r="M503" s="1568"/>
      <c r="N503" s="1998">
        <f>N504</f>
        <v>7.04</v>
      </c>
      <c r="O503" s="2073"/>
      <c r="P503" s="2074"/>
      <c r="Q503" s="2000"/>
      <c r="R503" s="2001"/>
      <c r="S503" s="750"/>
      <c r="T503" s="750"/>
      <c r="U503" s="750"/>
      <c r="V503" s="1998">
        <f t="shared" ref="V503:W503" si="244">V504</f>
        <v>7.04</v>
      </c>
      <c r="W503" s="1998">
        <f t="shared" si="244"/>
        <v>7.04</v>
      </c>
      <c r="X503" s="750"/>
      <c r="Z503" s="2144"/>
    </row>
    <row r="504" spans="1:256" ht="26" x14ac:dyDescent="0.25">
      <c r="A504" s="32"/>
      <c r="B504" s="1993" t="s">
        <v>4</v>
      </c>
      <c r="C504" s="88"/>
      <c r="D504" s="88"/>
      <c r="E504" s="88"/>
      <c r="F504" s="9" t="s">
        <v>127</v>
      </c>
      <c r="G504" s="9" t="s">
        <v>1</v>
      </c>
      <c r="H504" s="9"/>
      <c r="I504" s="88"/>
      <c r="J504" s="1062">
        <f>J505</f>
        <v>37.200000000000003</v>
      </c>
      <c r="K504" s="1062"/>
      <c r="L504" s="1062">
        <v>45.2</v>
      </c>
      <c r="M504" s="1556">
        <v>45.2</v>
      </c>
      <c r="N504" s="1998">
        <f>N505</f>
        <v>7.04</v>
      </c>
      <c r="O504" s="1999">
        <f>O505</f>
        <v>37.200000000000003</v>
      </c>
      <c r="P504" s="1937">
        <f>P505</f>
        <v>37.200000000000003</v>
      </c>
      <c r="Q504" s="2000">
        <f>Q505</f>
        <v>7.1</v>
      </c>
      <c r="R504" s="2001">
        <f>R505</f>
        <v>7.1</v>
      </c>
      <c r="V504" s="1998">
        <f>V505</f>
        <v>7.04</v>
      </c>
      <c r="W504" s="1998">
        <f>W505</f>
        <v>7.04</v>
      </c>
    </row>
    <row r="505" spans="1:256" s="2" customFormat="1" ht="34.5" customHeight="1" x14ac:dyDescent="0.25">
      <c r="A505" s="32"/>
      <c r="B505" s="52" t="s">
        <v>1070</v>
      </c>
      <c r="C505" s="88"/>
      <c r="D505" s="88"/>
      <c r="E505" s="88"/>
      <c r="F505" s="9" t="s">
        <v>127</v>
      </c>
      <c r="G505" s="9" t="s">
        <v>1</v>
      </c>
      <c r="H505" s="9" t="s">
        <v>495</v>
      </c>
      <c r="I505" s="9" t="s">
        <v>832</v>
      </c>
      <c r="J505" s="1062">
        <f>17.5+15.7+4</f>
        <v>37.200000000000003</v>
      </c>
      <c r="K505" s="1062"/>
      <c r="L505" s="1062">
        <v>45.2</v>
      </c>
      <c r="M505" s="1556">
        <v>45.2</v>
      </c>
      <c r="N505" s="1998">
        <f>7.1-0.06</f>
        <v>7.04</v>
      </c>
      <c r="O505" s="1999">
        <v>37.200000000000003</v>
      </c>
      <c r="P505" s="1937">
        <v>37.200000000000003</v>
      </c>
      <c r="Q505" s="2000">
        <v>7.1</v>
      </c>
      <c r="R505" s="2001">
        <v>7.1</v>
      </c>
      <c r="S505" s="178">
        <v>7.1</v>
      </c>
      <c r="T505" s="178">
        <v>7.1</v>
      </c>
      <c r="U505" s="178">
        <v>7.1</v>
      </c>
      <c r="V505" s="1998">
        <f>7.1-0.06</f>
        <v>7.04</v>
      </c>
      <c r="W505" s="1998">
        <f>7.1-0.06</f>
        <v>7.04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42" hidden="1" customHeight="1" x14ac:dyDescent="0.25">
      <c r="A506" s="32"/>
      <c r="B506" s="52" t="s">
        <v>122</v>
      </c>
      <c r="C506" s="9"/>
      <c r="D506" s="94" t="s">
        <v>69</v>
      </c>
      <c r="E506" s="34" t="s">
        <v>119</v>
      </c>
      <c r="F506" s="94" t="s">
        <v>71</v>
      </c>
      <c r="G506" s="94" t="s">
        <v>71</v>
      </c>
      <c r="H506" s="94"/>
      <c r="I506" s="34"/>
      <c r="J506" s="1065">
        <f>J507</f>
        <v>0</v>
      </c>
      <c r="K506" s="1065"/>
      <c r="L506" s="1065">
        <f t="shared" ref="L506:R509" si="245">L507</f>
        <v>99.305000000000007</v>
      </c>
      <c r="M506" s="1552">
        <f t="shared" si="245"/>
        <v>99.305000000000007</v>
      </c>
      <c r="N506" s="1982">
        <f t="shared" si="245"/>
        <v>0</v>
      </c>
      <c r="O506" s="1994">
        <f t="shared" si="245"/>
        <v>0</v>
      </c>
      <c r="P506" s="1939">
        <f t="shared" si="245"/>
        <v>0</v>
      </c>
      <c r="Q506" s="1995">
        <f t="shared" si="245"/>
        <v>0</v>
      </c>
      <c r="R506" s="1985">
        <f t="shared" si="245"/>
        <v>0</v>
      </c>
      <c r="V506" s="1982">
        <f t="shared" ref="V506:W509" si="246">V507</f>
        <v>0</v>
      </c>
      <c r="W506" s="1982">
        <f t="shared" si="246"/>
        <v>0</v>
      </c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39" hidden="1" x14ac:dyDescent="0.25">
      <c r="A507" s="32"/>
      <c r="B507" s="52" t="s">
        <v>126</v>
      </c>
      <c r="C507" s="9"/>
      <c r="D507" s="94" t="s">
        <v>69</v>
      </c>
      <c r="E507" s="94" t="s">
        <v>119</v>
      </c>
      <c r="F507" s="34" t="s">
        <v>125</v>
      </c>
      <c r="G507" s="79"/>
      <c r="H507" s="79"/>
      <c r="I507" s="94"/>
      <c r="J507" s="1065">
        <f>J508</f>
        <v>0</v>
      </c>
      <c r="K507" s="1065"/>
      <c r="L507" s="1065">
        <f t="shared" si="245"/>
        <v>99.305000000000007</v>
      </c>
      <c r="M507" s="1552">
        <f t="shared" si="245"/>
        <v>99.305000000000007</v>
      </c>
      <c r="N507" s="1982">
        <f t="shared" si="245"/>
        <v>0</v>
      </c>
      <c r="O507" s="1994">
        <f t="shared" si="245"/>
        <v>0</v>
      </c>
      <c r="P507" s="1939">
        <f t="shared" si="245"/>
        <v>0</v>
      </c>
      <c r="Q507" s="1995">
        <f t="shared" si="245"/>
        <v>0</v>
      </c>
      <c r="R507" s="1985">
        <f t="shared" si="245"/>
        <v>0</v>
      </c>
      <c r="V507" s="1982">
        <f t="shared" si="246"/>
        <v>0</v>
      </c>
      <c r="W507" s="1982">
        <f t="shared" si="246"/>
        <v>0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ht="68.5" hidden="1" customHeight="1" x14ac:dyDescent="0.25">
      <c r="A508" s="32"/>
      <c r="B508" s="105" t="s">
        <v>787</v>
      </c>
      <c r="C508" s="9"/>
      <c r="D508" s="88" t="s">
        <v>69</v>
      </c>
      <c r="E508" s="88" t="s">
        <v>119</v>
      </c>
      <c r="F508" s="34" t="s">
        <v>121</v>
      </c>
      <c r="G508" s="9"/>
      <c r="H508" s="9"/>
      <c r="I508" s="88"/>
      <c r="J508" s="1062">
        <f>J509</f>
        <v>0</v>
      </c>
      <c r="K508" s="1062"/>
      <c r="L508" s="1062">
        <f t="shared" si="245"/>
        <v>99.305000000000007</v>
      </c>
      <c r="M508" s="1556">
        <f t="shared" si="245"/>
        <v>99.305000000000007</v>
      </c>
      <c r="N508" s="1998">
        <f t="shared" si="245"/>
        <v>0</v>
      </c>
      <c r="O508" s="1999">
        <f t="shared" si="245"/>
        <v>0</v>
      </c>
      <c r="P508" s="1937">
        <f t="shared" si="245"/>
        <v>0</v>
      </c>
      <c r="Q508" s="2000">
        <f t="shared" si="245"/>
        <v>0</v>
      </c>
      <c r="R508" s="2001">
        <f t="shared" si="245"/>
        <v>0</v>
      </c>
      <c r="V508" s="1998">
        <f t="shared" si="246"/>
        <v>0</v>
      </c>
      <c r="W508" s="1998">
        <f t="shared" si="246"/>
        <v>0</v>
      </c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ht="13.9" hidden="1" customHeight="1" x14ac:dyDescent="0.3">
      <c r="A509" s="32"/>
      <c r="B509" s="2003" t="s">
        <v>123</v>
      </c>
      <c r="C509" s="9"/>
      <c r="D509" s="88" t="s">
        <v>69</v>
      </c>
      <c r="E509" s="88" t="s">
        <v>119</v>
      </c>
      <c r="F509" s="9" t="s">
        <v>121</v>
      </c>
      <c r="G509" s="9" t="s">
        <v>120</v>
      </c>
      <c r="H509" s="9"/>
      <c r="I509" s="88"/>
      <c r="J509" s="1062">
        <f>J510</f>
        <v>0</v>
      </c>
      <c r="K509" s="1062"/>
      <c r="L509" s="1062">
        <v>99.305000000000007</v>
      </c>
      <c r="M509" s="1556">
        <v>99.305000000000007</v>
      </c>
      <c r="N509" s="1998">
        <f t="shared" si="245"/>
        <v>0</v>
      </c>
      <c r="O509" s="1999">
        <f t="shared" si="245"/>
        <v>0</v>
      </c>
      <c r="P509" s="1937">
        <f t="shared" si="245"/>
        <v>0</v>
      </c>
      <c r="Q509" s="2000">
        <f t="shared" si="245"/>
        <v>0</v>
      </c>
      <c r="R509" s="2001">
        <f t="shared" si="245"/>
        <v>0</v>
      </c>
      <c r="V509" s="1998">
        <f t="shared" si="246"/>
        <v>0</v>
      </c>
      <c r="W509" s="1998">
        <f t="shared" si="246"/>
        <v>0</v>
      </c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28.15" hidden="1" customHeight="1" x14ac:dyDescent="0.3">
      <c r="A510" s="32"/>
      <c r="B510" s="2012" t="s">
        <v>122</v>
      </c>
      <c r="C510" s="9"/>
      <c r="D510" s="88"/>
      <c r="E510" s="88"/>
      <c r="F510" s="9" t="s">
        <v>121</v>
      </c>
      <c r="G510" s="9" t="s">
        <v>120</v>
      </c>
      <c r="H510" s="9"/>
      <c r="I510" s="88" t="s">
        <v>119</v>
      </c>
      <c r="J510" s="1062"/>
      <c r="K510" s="1062"/>
      <c r="L510" s="1062">
        <v>99.305000000000007</v>
      </c>
      <c r="M510" s="1556">
        <v>99.305000000000007</v>
      </c>
      <c r="N510" s="1998"/>
      <c r="O510" s="1999"/>
      <c r="P510" s="1937"/>
      <c r="Q510" s="2000"/>
      <c r="R510" s="2001"/>
      <c r="V510" s="1998"/>
      <c r="W510" s="1998"/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54.65" hidden="1" customHeight="1" x14ac:dyDescent="0.25">
      <c r="A511" s="32"/>
      <c r="B511" s="1093" t="s">
        <v>118</v>
      </c>
      <c r="C511" s="9"/>
      <c r="D511" s="88"/>
      <c r="E511" s="88"/>
      <c r="F511" s="34" t="s">
        <v>117</v>
      </c>
      <c r="G511" s="9"/>
      <c r="H511" s="9"/>
      <c r="I511" s="88"/>
      <c r="J511" s="1062"/>
      <c r="K511" s="1062"/>
      <c r="L511" s="1062"/>
      <c r="M511" s="1556"/>
      <c r="N511" s="1998">
        <f>N512</f>
        <v>0</v>
      </c>
      <c r="O511" s="1999">
        <f t="shared" ref="O511:R514" si="247">O512</f>
        <v>659.56200000000001</v>
      </c>
      <c r="P511" s="1937">
        <f t="shared" si="247"/>
        <v>725.51900000000001</v>
      </c>
      <c r="Q511" s="2000">
        <f t="shared" si="247"/>
        <v>0</v>
      </c>
      <c r="R511" s="2001">
        <f t="shared" si="247"/>
        <v>0</v>
      </c>
      <c r="V511" s="1998">
        <f t="shared" ref="V511:W514" si="248">V512</f>
        <v>0</v>
      </c>
      <c r="W511" s="1998">
        <f t="shared" si="248"/>
        <v>0</v>
      </c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t="28.15" hidden="1" customHeight="1" x14ac:dyDescent="0.25">
      <c r="A512" s="32"/>
      <c r="B512" s="1093" t="s">
        <v>109</v>
      </c>
      <c r="C512" s="9"/>
      <c r="D512" s="88"/>
      <c r="E512" s="88"/>
      <c r="F512" s="9" t="s">
        <v>116</v>
      </c>
      <c r="G512" s="9"/>
      <c r="H512" s="9"/>
      <c r="I512" s="88"/>
      <c r="J512" s="1062"/>
      <c r="K512" s="1062"/>
      <c r="L512" s="1062"/>
      <c r="M512" s="1556"/>
      <c r="N512" s="1998">
        <f>N513</f>
        <v>0</v>
      </c>
      <c r="O512" s="1999">
        <f t="shared" si="247"/>
        <v>659.56200000000001</v>
      </c>
      <c r="P512" s="1937">
        <f t="shared" si="247"/>
        <v>725.51900000000001</v>
      </c>
      <c r="Q512" s="2000">
        <f t="shared" si="247"/>
        <v>0</v>
      </c>
      <c r="R512" s="2001">
        <f t="shared" si="247"/>
        <v>0</v>
      </c>
      <c r="V512" s="1998">
        <f t="shared" si="248"/>
        <v>0</v>
      </c>
      <c r="W512" s="1998">
        <f t="shared" si="248"/>
        <v>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t="28.15" hidden="1" customHeight="1" x14ac:dyDescent="0.25">
      <c r="A513" s="32"/>
      <c r="B513" s="1110" t="s">
        <v>115</v>
      </c>
      <c r="C513" s="9"/>
      <c r="D513" s="88"/>
      <c r="E513" s="88"/>
      <c r="F513" s="9" t="s">
        <v>113</v>
      </c>
      <c r="G513" s="9"/>
      <c r="H513" s="9"/>
      <c r="I513" s="88"/>
      <c r="J513" s="1062"/>
      <c r="K513" s="1062"/>
      <c r="L513" s="1062"/>
      <c r="M513" s="1556"/>
      <c r="N513" s="1998">
        <f>N514</f>
        <v>0</v>
      </c>
      <c r="O513" s="1999">
        <f t="shared" si="247"/>
        <v>659.56200000000001</v>
      </c>
      <c r="P513" s="1937">
        <f t="shared" si="247"/>
        <v>725.51900000000001</v>
      </c>
      <c r="Q513" s="2000">
        <f t="shared" si="247"/>
        <v>0</v>
      </c>
      <c r="R513" s="2001">
        <f t="shared" si="247"/>
        <v>0</v>
      </c>
      <c r="V513" s="1998">
        <f t="shared" si="248"/>
        <v>0</v>
      </c>
      <c r="W513" s="1998">
        <f t="shared" si="248"/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16.149999999999999" hidden="1" customHeight="1" x14ac:dyDescent="0.3">
      <c r="A514" s="32"/>
      <c r="B514" s="744" t="s">
        <v>7</v>
      </c>
      <c r="C514" s="9"/>
      <c r="D514" s="88"/>
      <c r="E514" s="88"/>
      <c r="F514" s="9" t="s">
        <v>113</v>
      </c>
      <c r="G514" s="9" t="s">
        <v>5</v>
      </c>
      <c r="H514" s="9"/>
      <c r="I514" s="88"/>
      <c r="J514" s="1062"/>
      <c r="K514" s="1062"/>
      <c r="L514" s="1062"/>
      <c r="M514" s="1556"/>
      <c r="N514" s="1998">
        <f>N515</f>
        <v>0</v>
      </c>
      <c r="O514" s="1999">
        <f t="shared" si="247"/>
        <v>659.56200000000001</v>
      </c>
      <c r="P514" s="1937">
        <f t="shared" si="247"/>
        <v>725.51900000000001</v>
      </c>
      <c r="Q514" s="2000">
        <f t="shared" si="247"/>
        <v>0</v>
      </c>
      <c r="R514" s="2001">
        <f t="shared" si="247"/>
        <v>0</v>
      </c>
      <c r="V514" s="1998">
        <f t="shared" si="248"/>
        <v>0</v>
      </c>
      <c r="W514" s="1998">
        <f t="shared" si="248"/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40.15" hidden="1" customHeight="1" x14ac:dyDescent="0.3">
      <c r="A515" s="32"/>
      <c r="B515" s="336" t="s">
        <v>114</v>
      </c>
      <c r="C515" s="9"/>
      <c r="D515" s="88"/>
      <c r="E515" s="88"/>
      <c r="F515" s="9" t="s">
        <v>113</v>
      </c>
      <c r="G515" s="9" t="s">
        <v>5</v>
      </c>
      <c r="H515" s="9" t="s">
        <v>456</v>
      </c>
      <c r="I515" s="9" t="s">
        <v>495</v>
      </c>
      <c r="J515" s="1062"/>
      <c r="K515" s="1062"/>
      <c r="L515" s="1062"/>
      <c r="M515" s="1556"/>
      <c r="N515" s="2075">
        <f>530.24-530.24</f>
        <v>0</v>
      </c>
      <c r="O515" s="1999">
        <v>659.56200000000001</v>
      </c>
      <c r="P515" s="1937">
        <v>725.51900000000001</v>
      </c>
      <c r="Q515" s="2076">
        <f>530.24-530.24</f>
        <v>0</v>
      </c>
      <c r="R515" s="2077">
        <f>530.24-530.24</f>
        <v>0</v>
      </c>
      <c r="V515" s="2075">
        <f>530.24-530.24</f>
        <v>0</v>
      </c>
      <c r="W515" s="2075">
        <f>530.24-530.24</f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39" x14ac:dyDescent="0.25">
      <c r="A516" s="32"/>
      <c r="B516" s="1093" t="s">
        <v>111</v>
      </c>
      <c r="C516" s="88"/>
      <c r="D516" s="88"/>
      <c r="E516" s="88"/>
      <c r="F516" s="34" t="s">
        <v>110</v>
      </c>
      <c r="G516" s="88"/>
      <c r="H516" s="88"/>
      <c r="I516" s="88"/>
      <c r="J516" s="1064">
        <f>J517</f>
        <v>1183.2429999999999</v>
      </c>
      <c r="K516" s="1061"/>
      <c r="L516" s="1061"/>
      <c r="M516" s="1125"/>
      <c r="N516" s="1982">
        <f t="shared" ref="N516:R520" si="249">N517</f>
        <v>1573.114</v>
      </c>
      <c r="O516" s="1994">
        <f t="shared" si="249"/>
        <v>1627.663</v>
      </c>
      <c r="P516" s="1939">
        <f t="shared" si="249"/>
        <v>1782.7329999999999</v>
      </c>
      <c r="Q516" s="1995">
        <f t="shared" si="249"/>
        <v>1573.104</v>
      </c>
      <c r="R516" s="1985">
        <f t="shared" si="249"/>
        <v>1636.028</v>
      </c>
      <c r="V516" s="1982">
        <f t="shared" ref="V516:W520" si="250">V517</f>
        <v>1636.039</v>
      </c>
      <c r="W516" s="1982">
        <f t="shared" si="250"/>
        <v>1701.48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21" customHeight="1" x14ac:dyDescent="0.25">
      <c r="A517" s="32"/>
      <c r="B517" s="1093" t="s">
        <v>109</v>
      </c>
      <c r="C517" s="88"/>
      <c r="D517" s="88"/>
      <c r="E517" s="88"/>
      <c r="F517" s="9" t="s">
        <v>108</v>
      </c>
      <c r="G517" s="88"/>
      <c r="H517" s="88"/>
      <c r="I517" s="88"/>
      <c r="J517" s="1061">
        <f>J518</f>
        <v>1183.2429999999999</v>
      </c>
      <c r="K517" s="1061"/>
      <c r="L517" s="1061"/>
      <c r="M517" s="1125"/>
      <c r="N517" s="1986">
        <f t="shared" si="249"/>
        <v>1573.114</v>
      </c>
      <c r="O517" s="1947">
        <f t="shared" si="249"/>
        <v>1627.663</v>
      </c>
      <c r="P517" s="1941">
        <f t="shared" si="249"/>
        <v>1782.7329999999999</v>
      </c>
      <c r="Q517" s="1987">
        <f t="shared" si="249"/>
        <v>1573.104</v>
      </c>
      <c r="R517" s="1988">
        <f t="shared" si="249"/>
        <v>1636.028</v>
      </c>
      <c r="V517" s="1986">
        <f t="shared" si="250"/>
        <v>1636.039</v>
      </c>
      <c r="W517" s="1986">
        <f t="shared" si="250"/>
        <v>1701.48</v>
      </c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26" x14ac:dyDescent="0.25">
      <c r="A518" s="32"/>
      <c r="B518" s="49" t="s">
        <v>107</v>
      </c>
      <c r="C518" s="88" t="s">
        <v>106</v>
      </c>
      <c r="D518" s="88" t="s">
        <v>69</v>
      </c>
      <c r="E518" s="88" t="s">
        <v>103</v>
      </c>
      <c r="F518" s="9" t="s">
        <v>104</v>
      </c>
      <c r="G518" s="9"/>
      <c r="H518" s="9"/>
      <c r="I518" s="88"/>
      <c r="J518" s="1060">
        <f>J520</f>
        <v>1183.2429999999999</v>
      </c>
      <c r="K518" s="1059"/>
      <c r="L518" s="1059">
        <f t="shared" ref="L518:R518" si="251">L520</f>
        <v>1223.8879999999999</v>
      </c>
      <c r="M518" s="1555">
        <f t="shared" si="251"/>
        <v>1309.56</v>
      </c>
      <c r="N518" s="1998">
        <f t="shared" si="251"/>
        <v>1573.114</v>
      </c>
      <c r="O518" s="1999">
        <f t="shared" si="251"/>
        <v>1627.663</v>
      </c>
      <c r="P518" s="1937">
        <f t="shared" si="251"/>
        <v>1782.7329999999999</v>
      </c>
      <c r="Q518" s="2000">
        <f t="shared" si="251"/>
        <v>1573.104</v>
      </c>
      <c r="R518" s="2001">
        <f t="shared" si="251"/>
        <v>1636.028</v>
      </c>
      <c r="V518" s="1998">
        <f>V520</f>
        <v>1636.039</v>
      </c>
      <c r="W518" s="1998">
        <f>W520</f>
        <v>1701.48</v>
      </c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ht="40" customHeight="1" x14ac:dyDescent="0.25">
      <c r="A519" s="32"/>
      <c r="B519" s="49" t="s">
        <v>1063</v>
      </c>
      <c r="C519" s="88"/>
      <c r="D519" s="88"/>
      <c r="E519" s="88"/>
      <c r="F519" s="9" t="s">
        <v>104</v>
      </c>
      <c r="G519" s="9" t="s">
        <v>1062</v>
      </c>
      <c r="H519" s="9"/>
      <c r="I519" s="88"/>
      <c r="J519" s="1060"/>
      <c r="K519" s="1059"/>
      <c r="L519" s="1059"/>
      <c r="M519" s="1555"/>
      <c r="N519" s="1998">
        <f>N520</f>
        <v>1573.114</v>
      </c>
      <c r="O519" s="1999"/>
      <c r="P519" s="1937"/>
      <c r="Q519" s="2000"/>
      <c r="R519" s="2001"/>
      <c r="V519" s="1998">
        <f t="shared" ref="V519:W519" si="252">V520</f>
        <v>1636.039</v>
      </c>
      <c r="W519" s="1998">
        <f t="shared" si="252"/>
        <v>1701.48</v>
      </c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t="13" x14ac:dyDescent="0.3">
      <c r="A520" s="32"/>
      <c r="B520" s="744" t="s">
        <v>7</v>
      </c>
      <c r="C520" s="88"/>
      <c r="D520" s="88" t="s">
        <v>69</v>
      </c>
      <c r="E520" s="88" t="s">
        <v>103</v>
      </c>
      <c r="F520" s="9" t="s">
        <v>104</v>
      </c>
      <c r="G520" s="88">
        <v>120</v>
      </c>
      <c r="H520" s="88"/>
      <c r="I520" s="88"/>
      <c r="J520" s="1060">
        <f>J521</f>
        <v>1183.2429999999999</v>
      </c>
      <c r="K520" s="1060"/>
      <c r="L520" s="1061">
        <v>1223.8879999999999</v>
      </c>
      <c r="M520" s="1550">
        <v>1309.56</v>
      </c>
      <c r="N520" s="1998">
        <f t="shared" si="249"/>
        <v>1573.114</v>
      </c>
      <c r="O520" s="1999">
        <f t="shared" si="249"/>
        <v>1627.663</v>
      </c>
      <c r="P520" s="1937">
        <f t="shared" si="249"/>
        <v>1782.7329999999999</v>
      </c>
      <c r="Q520" s="2000">
        <f t="shared" si="249"/>
        <v>1573.104</v>
      </c>
      <c r="R520" s="2001">
        <f t="shared" si="249"/>
        <v>1636.028</v>
      </c>
      <c r="V520" s="1998">
        <f t="shared" si="250"/>
        <v>1636.039</v>
      </c>
      <c r="W520" s="1998">
        <f t="shared" si="250"/>
        <v>1701.48</v>
      </c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39" x14ac:dyDescent="0.3">
      <c r="A521" s="32"/>
      <c r="B521" s="2066" t="s">
        <v>105</v>
      </c>
      <c r="C521" s="88"/>
      <c r="D521" s="88"/>
      <c r="E521" s="88"/>
      <c r="F521" s="9" t="s">
        <v>104</v>
      </c>
      <c r="G521" s="88">
        <v>120</v>
      </c>
      <c r="H521" s="9" t="s">
        <v>456</v>
      </c>
      <c r="I521" s="33" t="s">
        <v>452</v>
      </c>
      <c r="J521" s="1060">
        <f>946.688+236.555</f>
        <v>1183.2429999999999</v>
      </c>
      <c r="K521" s="1060"/>
      <c r="L521" s="1061">
        <v>1223.8879999999999</v>
      </c>
      <c r="M521" s="1550">
        <v>1309.56</v>
      </c>
      <c r="N521" s="1998">
        <v>1573.114</v>
      </c>
      <c r="O521" s="1999">
        <v>1627.663</v>
      </c>
      <c r="P521" s="1937">
        <v>1782.7329999999999</v>
      </c>
      <c r="Q521" s="2000">
        <v>1573.104</v>
      </c>
      <c r="R521" s="2001">
        <v>1636.028</v>
      </c>
      <c r="V521" s="1998">
        <v>1636.039</v>
      </c>
      <c r="W521" s="1998">
        <v>1701.48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ht="26" x14ac:dyDescent="0.25">
      <c r="A522" s="91">
        <v>14</v>
      </c>
      <c r="B522" s="52" t="s">
        <v>102</v>
      </c>
      <c r="C522" s="34"/>
      <c r="D522" s="34" t="s">
        <v>69</v>
      </c>
      <c r="E522" s="34" t="s">
        <v>90</v>
      </c>
      <c r="F522" s="34" t="s">
        <v>101</v>
      </c>
      <c r="G522" s="34"/>
      <c r="H522" s="34"/>
      <c r="I522" s="34"/>
      <c r="J522" s="1065">
        <f>J524</f>
        <v>213.2</v>
      </c>
      <c r="K522" s="1065"/>
      <c r="L522" s="1065">
        <f>L525</f>
        <v>108</v>
      </c>
      <c r="M522" s="1552">
        <f>M525</f>
        <v>108</v>
      </c>
      <c r="N522" s="1982">
        <f>N523</f>
        <v>5191.7659800000001</v>
      </c>
      <c r="O522" s="1994">
        <f t="shared" ref="O522:R523" si="253">O523</f>
        <v>213.5</v>
      </c>
      <c r="P522" s="1939">
        <f t="shared" si="253"/>
        <v>213.5</v>
      </c>
      <c r="Q522" s="1995">
        <f t="shared" si="253"/>
        <v>500</v>
      </c>
      <c r="R522" s="1985">
        <f t="shared" si="253"/>
        <v>600</v>
      </c>
      <c r="V522" s="1982">
        <f t="shared" ref="V522:W524" si="254">V523</f>
        <v>600</v>
      </c>
      <c r="W522" s="1982">
        <f t="shared" si="254"/>
        <v>700</v>
      </c>
    </row>
    <row r="523" spans="1:256" ht="13" x14ac:dyDescent="0.25">
      <c r="A523" s="91"/>
      <c r="B523" s="49" t="s">
        <v>83</v>
      </c>
      <c r="C523" s="34"/>
      <c r="D523" s="34"/>
      <c r="E523" s="34"/>
      <c r="F523" s="9" t="s">
        <v>100</v>
      </c>
      <c r="G523" s="34"/>
      <c r="H523" s="34"/>
      <c r="I523" s="34"/>
      <c r="J523" s="1065"/>
      <c r="K523" s="1065"/>
      <c r="L523" s="1065"/>
      <c r="M523" s="1552"/>
      <c r="N523" s="1986">
        <f>N524</f>
        <v>5191.7659800000001</v>
      </c>
      <c r="O523" s="1947">
        <f t="shared" si="253"/>
        <v>213.5</v>
      </c>
      <c r="P523" s="1941">
        <f t="shared" si="253"/>
        <v>213.5</v>
      </c>
      <c r="Q523" s="1987">
        <f t="shared" si="253"/>
        <v>500</v>
      </c>
      <c r="R523" s="1988">
        <f t="shared" si="253"/>
        <v>600</v>
      </c>
      <c r="V523" s="1986">
        <f t="shared" si="254"/>
        <v>600</v>
      </c>
      <c r="W523" s="1986">
        <f t="shared" si="254"/>
        <v>700</v>
      </c>
    </row>
    <row r="524" spans="1:256" ht="13" x14ac:dyDescent="0.25">
      <c r="A524" s="91"/>
      <c r="B524" s="49" t="s">
        <v>83</v>
      </c>
      <c r="C524" s="34"/>
      <c r="D524" s="34"/>
      <c r="E524" s="34"/>
      <c r="F524" s="9" t="s">
        <v>99</v>
      </c>
      <c r="G524" s="34"/>
      <c r="H524" s="34"/>
      <c r="I524" s="34"/>
      <c r="J524" s="1063">
        <f>J528+J535</f>
        <v>213.2</v>
      </c>
      <c r="K524" s="1065"/>
      <c r="L524" s="1065"/>
      <c r="M524" s="1552"/>
      <c r="N524" s="1986">
        <f>N525</f>
        <v>5191.7659800000001</v>
      </c>
      <c r="O524" s="1947">
        <f>O528+O535</f>
        <v>213.5</v>
      </c>
      <c r="P524" s="1941">
        <f>P528+P535</f>
        <v>213.5</v>
      </c>
      <c r="Q524" s="1987">
        <f>Q528+Q535</f>
        <v>500</v>
      </c>
      <c r="R524" s="1988">
        <f>R528+R535</f>
        <v>600</v>
      </c>
      <c r="V524" s="1986">
        <f t="shared" si="254"/>
        <v>600</v>
      </c>
      <c r="W524" s="1986">
        <f t="shared" si="254"/>
        <v>700</v>
      </c>
    </row>
    <row r="525" spans="1:256" ht="13" x14ac:dyDescent="0.25">
      <c r="A525" s="32"/>
      <c r="B525" s="49" t="s">
        <v>98</v>
      </c>
      <c r="C525" s="34"/>
      <c r="D525" s="9" t="s">
        <v>69</v>
      </c>
      <c r="E525" s="9" t="s">
        <v>90</v>
      </c>
      <c r="F525" s="9" t="s">
        <v>92</v>
      </c>
      <c r="G525" s="34"/>
      <c r="H525" s="34"/>
      <c r="I525" s="9"/>
      <c r="J525" s="1063">
        <f>J527</f>
        <v>198.2</v>
      </c>
      <c r="K525" s="1063"/>
      <c r="L525" s="1063">
        <f>L527+L534</f>
        <v>108</v>
      </c>
      <c r="M525" s="1125">
        <f>M527+M534</f>
        <v>108</v>
      </c>
      <c r="N525" s="1986">
        <f>N528+N533+N535</f>
        <v>5191.7659800000001</v>
      </c>
      <c r="O525" s="1947">
        <f>O527</f>
        <v>178.5</v>
      </c>
      <c r="P525" s="1941">
        <f>P527</f>
        <v>178.5</v>
      </c>
      <c r="Q525" s="1987">
        <f>Q527+Q534</f>
        <v>500</v>
      </c>
      <c r="R525" s="1988">
        <f>R527+R534</f>
        <v>600</v>
      </c>
      <c r="V525" s="1986">
        <f>V528+V533+V535</f>
        <v>600</v>
      </c>
      <c r="W525" s="1986">
        <f>W528+W533+W535</f>
        <v>700</v>
      </c>
    </row>
    <row r="526" spans="1:256" ht="26" x14ac:dyDescent="0.25">
      <c r="A526" s="32"/>
      <c r="B526" s="724" t="s">
        <v>948</v>
      </c>
      <c r="C526" s="34"/>
      <c r="D526" s="9"/>
      <c r="E526" s="9"/>
      <c r="F526" s="9"/>
      <c r="G526" s="9" t="s">
        <v>955</v>
      </c>
      <c r="H526" s="34"/>
      <c r="I526" s="9"/>
      <c r="J526" s="1063"/>
      <c r="K526" s="1063"/>
      <c r="L526" s="1063"/>
      <c r="M526" s="1125"/>
      <c r="N526" s="1986">
        <f>N527</f>
        <v>4500.027</v>
      </c>
      <c r="O526" s="1947"/>
      <c r="P526" s="1941"/>
      <c r="Q526" s="1987"/>
      <c r="R526" s="1988"/>
      <c r="V526" s="1986">
        <f t="shared" ref="V526:W526" si="255">V527</f>
        <v>550</v>
      </c>
      <c r="W526" s="1986">
        <f t="shared" si="255"/>
        <v>650</v>
      </c>
    </row>
    <row r="527" spans="1:256" ht="26" x14ac:dyDescent="0.25">
      <c r="A527" s="32"/>
      <c r="B527" s="1993" t="s">
        <v>4</v>
      </c>
      <c r="C527" s="34"/>
      <c r="D527" s="9" t="s">
        <v>69</v>
      </c>
      <c r="E527" s="9" t="s">
        <v>90</v>
      </c>
      <c r="F527" s="9" t="s">
        <v>92</v>
      </c>
      <c r="G527" s="9" t="s">
        <v>1</v>
      </c>
      <c r="H527" s="9"/>
      <c r="I527" s="9"/>
      <c r="J527" s="1063">
        <f>J528</f>
        <v>198.2</v>
      </c>
      <c r="K527" s="1063"/>
      <c r="L527" s="1063">
        <v>105</v>
      </c>
      <c r="M527" s="1125">
        <v>105</v>
      </c>
      <c r="N527" s="1986">
        <f t="shared" ref="N527:R527" si="256">N528</f>
        <v>4500.027</v>
      </c>
      <c r="O527" s="1947">
        <f t="shared" si="256"/>
        <v>178.5</v>
      </c>
      <c r="P527" s="1941">
        <f t="shared" si="256"/>
        <v>178.5</v>
      </c>
      <c r="Q527" s="1987">
        <f t="shared" si="256"/>
        <v>400</v>
      </c>
      <c r="R527" s="1988">
        <f t="shared" si="256"/>
        <v>500</v>
      </c>
      <c r="V527" s="1986">
        <f t="shared" ref="V527:W527" si="257">V528</f>
        <v>550</v>
      </c>
      <c r="W527" s="1986">
        <f t="shared" si="257"/>
        <v>650</v>
      </c>
    </row>
    <row r="528" spans="1:256" ht="13" x14ac:dyDescent="0.25">
      <c r="A528" s="32"/>
      <c r="B528" s="52" t="s">
        <v>93</v>
      </c>
      <c r="C528" s="34"/>
      <c r="D528" s="9"/>
      <c r="E528" s="9"/>
      <c r="F528" s="9" t="s">
        <v>92</v>
      </c>
      <c r="G528" s="9" t="s">
        <v>1</v>
      </c>
      <c r="H528" s="9" t="s">
        <v>456</v>
      </c>
      <c r="I528" s="9" t="s">
        <v>573</v>
      </c>
      <c r="J528" s="1063">
        <v>198.2</v>
      </c>
      <c r="K528" s="1063"/>
      <c r="L528" s="1063">
        <v>105</v>
      </c>
      <c r="M528" s="1125">
        <v>105</v>
      </c>
      <c r="N528" s="1986">
        <f>500+0.027+4000</f>
        <v>4500.027</v>
      </c>
      <c r="O528" s="1947">
        <v>178.5</v>
      </c>
      <c r="P528" s="1941">
        <v>178.5</v>
      </c>
      <c r="Q528" s="1987">
        <v>400</v>
      </c>
      <c r="R528" s="1988">
        <v>500</v>
      </c>
      <c r="V528" s="1986">
        <v>550</v>
      </c>
      <c r="W528" s="1986">
        <v>650</v>
      </c>
    </row>
    <row r="529" spans="1:26" ht="13" hidden="1" x14ac:dyDescent="0.25">
      <c r="A529" s="32"/>
      <c r="B529" s="99" t="s">
        <v>97</v>
      </c>
      <c r="C529" s="34"/>
      <c r="D529" s="9" t="s">
        <v>69</v>
      </c>
      <c r="E529" s="9" t="s">
        <v>90</v>
      </c>
      <c r="F529" s="9" t="s">
        <v>96</v>
      </c>
      <c r="G529" s="9" t="s">
        <v>95</v>
      </c>
      <c r="H529" s="9"/>
      <c r="I529" s="1063"/>
      <c r="J529" s="1063">
        <f>J530</f>
        <v>0</v>
      </c>
      <c r="K529" s="1063"/>
      <c r="L529" s="1063"/>
      <c r="M529" s="2"/>
      <c r="N529" s="1986">
        <f>N530</f>
        <v>0</v>
      </c>
      <c r="O529" s="1947">
        <f>O530</f>
        <v>0</v>
      </c>
      <c r="P529" s="1941">
        <f>P530</f>
        <v>0</v>
      </c>
      <c r="Q529" s="1987">
        <f>Q530</f>
        <v>0</v>
      </c>
      <c r="R529" s="1988">
        <f>R530</f>
        <v>0</v>
      </c>
      <c r="V529" s="1986">
        <f>V530</f>
        <v>0</v>
      </c>
      <c r="W529" s="1986">
        <f>W530</f>
        <v>0</v>
      </c>
    </row>
    <row r="530" spans="1:26" ht="13" hidden="1" x14ac:dyDescent="0.25">
      <c r="A530" s="32"/>
      <c r="B530" s="52" t="s">
        <v>93</v>
      </c>
      <c r="C530" s="34"/>
      <c r="D530" s="9"/>
      <c r="E530" s="9"/>
      <c r="F530" s="9" t="s">
        <v>96</v>
      </c>
      <c r="G530" s="9" t="s">
        <v>95</v>
      </c>
      <c r="H530" s="9"/>
      <c r="I530" s="9" t="s">
        <v>90</v>
      </c>
      <c r="J530" s="1063"/>
      <c r="K530" s="1063"/>
      <c r="L530" s="1063"/>
      <c r="M530" s="1125"/>
      <c r="N530" s="1986"/>
      <c r="O530" s="1947"/>
      <c r="P530" s="1941"/>
      <c r="Q530" s="1987"/>
      <c r="R530" s="1988"/>
      <c r="V530" s="1986"/>
      <c r="W530" s="1986"/>
    </row>
    <row r="531" spans="1:26" ht="13" x14ac:dyDescent="0.25">
      <c r="A531" s="32"/>
      <c r="B531" s="2176" t="s">
        <v>1065</v>
      </c>
      <c r="C531" s="34"/>
      <c r="D531" s="9"/>
      <c r="E531" s="9"/>
      <c r="F531" s="9" t="s">
        <v>92</v>
      </c>
      <c r="G531" s="9" t="s">
        <v>1064</v>
      </c>
      <c r="H531" s="9"/>
      <c r="I531" s="9"/>
      <c r="J531" s="1063"/>
      <c r="K531" s="1063"/>
      <c r="L531" s="1063"/>
      <c r="M531" s="1125"/>
      <c r="N531" s="1986">
        <f>N532+N534</f>
        <v>691.73897999999997</v>
      </c>
      <c r="O531" s="1947"/>
      <c r="P531" s="1941"/>
      <c r="Q531" s="1987"/>
      <c r="R531" s="1988"/>
      <c r="V531" s="1986">
        <f t="shared" ref="V531:W531" si="258">V532+V534</f>
        <v>50</v>
      </c>
      <c r="W531" s="1986">
        <f t="shared" si="258"/>
        <v>50</v>
      </c>
    </row>
    <row r="532" spans="1:26" ht="13" x14ac:dyDescent="0.25">
      <c r="A532" s="32"/>
      <c r="B532" s="534" t="s">
        <v>97</v>
      </c>
      <c r="C532" s="34"/>
      <c r="D532" s="9"/>
      <c r="E532" s="9"/>
      <c r="F532" s="9" t="s">
        <v>92</v>
      </c>
      <c r="G532" s="9" t="s">
        <v>95</v>
      </c>
      <c r="H532" s="9"/>
      <c r="I532" s="9"/>
      <c r="J532" s="1063"/>
      <c r="K532" s="1063"/>
      <c r="L532" s="1063"/>
      <c r="M532" s="1125"/>
      <c r="N532" s="1986">
        <f>N533</f>
        <v>681.73897999999997</v>
      </c>
      <c r="O532" s="1947"/>
      <c r="P532" s="1941"/>
      <c r="Q532" s="1987"/>
      <c r="R532" s="1988"/>
      <c r="V532" s="1986">
        <f>V533</f>
        <v>40</v>
      </c>
      <c r="W532" s="1986">
        <f>W533</f>
        <v>40</v>
      </c>
    </row>
    <row r="533" spans="1:26" ht="13" x14ac:dyDescent="0.25">
      <c r="A533" s="32"/>
      <c r="B533" s="52" t="s">
        <v>93</v>
      </c>
      <c r="C533" s="34"/>
      <c r="D533" s="9"/>
      <c r="E533" s="9"/>
      <c r="F533" s="9" t="s">
        <v>92</v>
      </c>
      <c r="G533" s="9" t="s">
        <v>95</v>
      </c>
      <c r="H533" s="9" t="s">
        <v>456</v>
      </c>
      <c r="I533" s="9" t="s">
        <v>573</v>
      </c>
      <c r="J533" s="1063"/>
      <c r="K533" s="1063"/>
      <c r="L533" s="1063"/>
      <c r="M533" s="1125"/>
      <c r="N533" s="1986">
        <f>100+581.73898</f>
        <v>681.73897999999997</v>
      </c>
      <c r="O533" s="1947"/>
      <c r="P533" s="1941"/>
      <c r="Q533" s="1987"/>
      <c r="R533" s="1988"/>
      <c r="V533" s="1986">
        <v>40</v>
      </c>
      <c r="W533" s="1986">
        <v>40</v>
      </c>
    </row>
    <row r="534" spans="1:26" ht="13" x14ac:dyDescent="0.3">
      <c r="A534" s="32"/>
      <c r="B534" s="2003" t="s">
        <v>94</v>
      </c>
      <c r="C534" s="34"/>
      <c r="D534" s="9" t="s">
        <v>69</v>
      </c>
      <c r="E534" s="9" t="s">
        <v>90</v>
      </c>
      <c r="F534" s="9" t="s">
        <v>92</v>
      </c>
      <c r="G534" s="9" t="s">
        <v>91</v>
      </c>
      <c r="H534" s="9"/>
      <c r="I534" s="9"/>
      <c r="J534" s="1063">
        <f>J535</f>
        <v>15</v>
      </c>
      <c r="K534" s="1063"/>
      <c r="L534" s="1063">
        <v>3</v>
      </c>
      <c r="M534" s="1125">
        <v>3</v>
      </c>
      <c r="N534" s="1986">
        <f>N535</f>
        <v>10</v>
      </c>
      <c r="O534" s="1947">
        <f>O535</f>
        <v>35</v>
      </c>
      <c r="P534" s="1941">
        <f>P535</f>
        <v>35</v>
      </c>
      <c r="Q534" s="1987">
        <f>Q535</f>
        <v>100</v>
      </c>
      <c r="R534" s="1988">
        <f>R535</f>
        <v>100</v>
      </c>
      <c r="V534" s="1986">
        <f>V535</f>
        <v>10</v>
      </c>
      <c r="W534" s="1986">
        <f>W535</f>
        <v>10</v>
      </c>
    </row>
    <row r="535" spans="1:26" ht="13" x14ac:dyDescent="0.25">
      <c r="A535" s="32"/>
      <c r="B535" s="52" t="s">
        <v>93</v>
      </c>
      <c r="C535" s="34"/>
      <c r="D535" s="9"/>
      <c r="E535" s="9"/>
      <c r="F535" s="9" t="s">
        <v>92</v>
      </c>
      <c r="G535" s="9" t="s">
        <v>91</v>
      </c>
      <c r="H535" s="9" t="s">
        <v>456</v>
      </c>
      <c r="I535" s="9" t="s">
        <v>573</v>
      </c>
      <c r="J535" s="1063">
        <f>13+2</f>
        <v>15</v>
      </c>
      <c r="K535" s="1063"/>
      <c r="L535" s="1063">
        <v>3</v>
      </c>
      <c r="M535" s="1125">
        <v>3</v>
      </c>
      <c r="N535" s="1986">
        <v>10</v>
      </c>
      <c r="O535" s="1947">
        <v>35</v>
      </c>
      <c r="P535" s="1941">
        <v>35</v>
      </c>
      <c r="Q535" s="1987">
        <v>100</v>
      </c>
      <c r="R535" s="1988">
        <v>100</v>
      </c>
      <c r="V535" s="1986">
        <v>10</v>
      </c>
      <c r="W535" s="1986">
        <v>10</v>
      </c>
    </row>
    <row r="536" spans="1:26" s="83" customFormat="1" ht="39" x14ac:dyDescent="0.3">
      <c r="A536" s="91">
        <v>15</v>
      </c>
      <c r="B536" s="52" t="s">
        <v>25</v>
      </c>
      <c r="C536" s="9"/>
      <c r="D536" s="94" t="s">
        <v>69</v>
      </c>
      <c r="E536" s="34" t="s">
        <v>66</v>
      </c>
      <c r="F536" s="94" t="s">
        <v>89</v>
      </c>
      <c r="G536" s="94"/>
      <c r="H536" s="94"/>
      <c r="I536" s="34"/>
      <c r="J536" s="1072">
        <f>J549+J562+J565+J579+J584+J619+J622+J633+J544+J605+J559+J546+J610+J613+J537+J555+J556+J660</f>
        <v>32462.342000000001</v>
      </c>
      <c r="K536" s="1061"/>
      <c r="L536" s="1064">
        <f>L549+L562+L565+L579+L584+L619+L622+L664+L544+L605</f>
        <v>13168.182999999999</v>
      </c>
      <c r="M536" s="1563">
        <f>M549+M562+M565+M579+M584+M619+M622+M664+M544+M605</f>
        <v>13168.182999999999</v>
      </c>
      <c r="N536" s="1982">
        <f>N540</f>
        <v>15241.18802</v>
      </c>
      <c r="O536" s="1994">
        <f>O545+O552+O582+O604+O606+O609+O621+O635+O637+O663</f>
        <v>4416.915</v>
      </c>
      <c r="P536" s="1939">
        <f>P545+P552+P582+P604+P606+P609+P621+P635+P637+P663</f>
        <v>4792.1499999999996</v>
      </c>
      <c r="Q536" s="1995">
        <f>Q545+Q552+Q571+Q582+Q604+Q647+Q650+Q653+Q659+Q663</f>
        <v>7937.2269999999999</v>
      </c>
      <c r="R536" s="1985">
        <f>R545+R552+R571+R575+R582+R604+R647+R650+R653+R659+R663</f>
        <v>7219.3109999999997</v>
      </c>
      <c r="S536" s="84"/>
      <c r="T536" s="84"/>
      <c r="U536" s="84"/>
      <c r="V536" s="1982">
        <f>V540</f>
        <v>18650.972000000002</v>
      </c>
      <c r="W536" s="1982">
        <f>W540</f>
        <v>16833.434000000001</v>
      </c>
      <c r="X536" s="84"/>
      <c r="Z536" s="2141"/>
    </row>
    <row r="537" spans="1:26" s="83" customFormat="1" ht="26" hidden="1" x14ac:dyDescent="0.3">
      <c r="A537" s="91"/>
      <c r="B537" s="336" t="s">
        <v>88</v>
      </c>
      <c r="C537" s="9"/>
      <c r="D537" s="94"/>
      <c r="E537" s="34"/>
      <c r="F537" s="34" t="s">
        <v>86</v>
      </c>
      <c r="G537" s="94"/>
      <c r="H537" s="94"/>
      <c r="I537" s="34"/>
      <c r="J537" s="1060"/>
      <c r="K537" s="1061"/>
      <c r="L537" s="1064"/>
      <c r="M537" s="1563"/>
      <c r="N537" s="1998"/>
      <c r="O537" s="1999"/>
      <c r="P537" s="1937"/>
      <c r="Q537" s="2000"/>
      <c r="R537" s="2001"/>
      <c r="S537" s="84"/>
      <c r="T537" s="84"/>
      <c r="U537" s="84"/>
      <c r="V537" s="1998"/>
      <c r="W537" s="1998"/>
      <c r="X537" s="84"/>
      <c r="Z537" s="2141"/>
    </row>
    <row r="538" spans="1:26" s="83" customFormat="1" ht="26" hidden="1" x14ac:dyDescent="0.3">
      <c r="A538" s="91"/>
      <c r="B538" s="1993" t="s">
        <v>4</v>
      </c>
      <c r="C538" s="9"/>
      <c r="D538" s="94"/>
      <c r="E538" s="34"/>
      <c r="F538" s="9" t="s">
        <v>86</v>
      </c>
      <c r="G538" s="9" t="s">
        <v>1</v>
      </c>
      <c r="H538" s="9"/>
      <c r="I538" s="34"/>
      <c r="J538" s="1060"/>
      <c r="K538" s="1061"/>
      <c r="L538" s="1064"/>
      <c r="M538" s="1563"/>
      <c r="N538" s="1998"/>
      <c r="O538" s="1999"/>
      <c r="P538" s="1937"/>
      <c r="Q538" s="2000"/>
      <c r="R538" s="2001"/>
      <c r="S538" s="84"/>
      <c r="T538" s="84"/>
      <c r="U538" s="84"/>
      <c r="V538" s="1998"/>
      <c r="W538" s="1998"/>
      <c r="X538" s="84"/>
      <c r="Z538" s="2141"/>
    </row>
    <row r="539" spans="1:26" s="83" customFormat="1" ht="13" hidden="1" x14ac:dyDescent="0.3">
      <c r="A539" s="91"/>
      <c r="B539" s="49" t="s">
        <v>87</v>
      </c>
      <c r="C539" s="9"/>
      <c r="D539" s="94"/>
      <c r="E539" s="34"/>
      <c r="F539" s="9" t="s">
        <v>86</v>
      </c>
      <c r="G539" s="9" t="s">
        <v>1</v>
      </c>
      <c r="H539" s="9"/>
      <c r="I539" s="33" t="s">
        <v>85</v>
      </c>
      <c r="J539" s="1060"/>
      <c r="K539" s="1061"/>
      <c r="L539" s="1064"/>
      <c r="M539" s="1563"/>
      <c r="N539" s="1998"/>
      <c r="O539" s="1999"/>
      <c r="P539" s="1937"/>
      <c r="Q539" s="2000"/>
      <c r="R539" s="2001"/>
      <c r="S539" s="84"/>
      <c r="T539" s="84"/>
      <c r="U539" s="84"/>
      <c r="V539" s="1998"/>
      <c r="W539" s="1998"/>
      <c r="X539" s="84"/>
      <c r="Z539" s="2141"/>
    </row>
    <row r="540" spans="1:26" s="83" customFormat="1" ht="13" x14ac:dyDescent="0.3">
      <c r="A540" s="91"/>
      <c r="B540" s="49" t="s">
        <v>83</v>
      </c>
      <c r="C540" s="9"/>
      <c r="D540" s="94"/>
      <c r="E540" s="34"/>
      <c r="F540" s="88" t="s">
        <v>84</v>
      </c>
      <c r="G540" s="9"/>
      <c r="H540" s="9"/>
      <c r="I540" s="33"/>
      <c r="J540" s="1060">
        <f>J541</f>
        <v>32462.342000000001</v>
      </c>
      <c r="K540" s="1061"/>
      <c r="L540" s="1064"/>
      <c r="M540" s="1563"/>
      <c r="N540" s="1998">
        <f>N541</f>
        <v>15241.18802</v>
      </c>
      <c r="O540" s="1999">
        <f>O541</f>
        <v>4416.915</v>
      </c>
      <c r="P540" s="1937">
        <f>P541</f>
        <v>4792.1499999999996</v>
      </c>
      <c r="Q540" s="2000">
        <f>Q541</f>
        <v>7937.2269999999999</v>
      </c>
      <c r="R540" s="2001">
        <f>R541</f>
        <v>7219.3109999999997</v>
      </c>
      <c r="S540" s="84"/>
      <c r="T540" s="84"/>
      <c r="U540" s="84"/>
      <c r="V540" s="1998">
        <f>V541</f>
        <v>18650.972000000002</v>
      </c>
      <c r="W540" s="1998">
        <f>W541</f>
        <v>16833.434000000001</v>
      </c>
      <c r="X540" s="84"/>
      <c r="Z540" s="2141"/>
    </row>
    <row r="541" spans="1:26" s="83" customFormat="1" ht="13" x14ac:dyDescent="0.3">
      <c r="A541" s="91"/>
      <c r="B541" s="49" t="s">
        <v>83</v>
      </c>
      <c r="C541" s="9"/>
      <c r="D541" s="94"/>
      <c r="E541" s="34"/>
      <c r="F541" s="88" t="s">
        <v>82</v>
      </c>
      <c r="G541" s="9"/>
      <c r="H541" s="9"/>
      <c r="I541" s="33"/>
      <c r="J541" s="1060">
        <f>J536</f>
        <v>32462.342000000001</v>
      </c>
      <c r="K541" s="1061"/>
      <c r="L541" s="1064"/>
      <c r="M541" s="1563"/>
      <c r="N541" s="1998">
        <f>N545+N548+N552+N571+N575+N582+N600+N604+N643+N647+N650+N653+N663+N656+N589+N593+N597</f>
        <v>15241.18802</v>
      </c>
      <c r="O541" s="1999">
        <f>O536</f>
        <v>4416.915</v>
      </c>
      <c r="P541" s="1937">
        <f>P536</f>
        <v>4792.1499999999996</v>
      </c>
      <c r="Q541" s="2000">
        <f>Q536</f>
        <v>7937.2269999999999</v>
      </c>
      <c r="R541" s="2000">
        <f>R536</f>
        <v>7219.3109999999997</v>
      </c>
      <c r="S541" s="84"/>
      <c r="T541" s="84"/>
      <c r="U541" s="84"/>
      <c r="V541" s="1998">
        <f>V545+V548+V552+V571+V575+V582+V600+V604+V643+V647+V650+V653+V663+V656+V589+V593+V597</f>
        <v>18650.972000000002</v>
      </c>
      <c r="W541" s="1998">
        <f>W545+W548+W552+W571+W575+W582+W600+W604+W643+W647+W650+W653+W663+W656+W589+W593+W597</f>
        <v>16833.434000000001</v>
      </c>
      <c r="X541" s="84"/>
      <c r="Z541" s="2141"/>
    </row>
    <row r="542" spans="1:26" s="83" customFormat="1" ht="13" x14ac:dyDescent="0.3">
      <c r="A542" s="91"/>
      <c r="B542" s="262" t="s">
        <v>81</v>
      </c>
      <c r="C542" s="9"/>
      <c r="D542" s="94"/>
      <c r="E542" s="34"/>
      <c r="F542" s="79" t="s">
        <v>78</v>
      </c>
      <c r="G542" s="9"/>
      <c r="H542" s="9"/>
      <c r="I542" s="33"/>
      <c r="J542" s="1060">
        <f>J544</f>
        <v>48</v>
      </c>
      <c r="K542" s="1061"/>
      <c r="L542" s="1064"/>
      <c r="M542" s="1563"/>
      <c r="N542" s="1989">
        <f>N544</f>
        <v>681.78300000000002</v>
      </c>
      <c r="O542" s="1990">
        <f>O544</f>
        <v>531.38</v>
      </c>
      <c r="P542" s="1934">
        <f>P544</f>
        <v>584.51300000000003</v>
      </c>
      <c r="Q542" s="1991">
        <f>Q544</f>
        <v>639.61699999999996</v>
      </c>
      <c r="R542" s="1992">
        <f>R544</f>
        <v>665.20100000000002</v>
      </c>
      <c r="S542" s="84"/>
      <c r="T542" s="84"/>
      <c r="U542" s="84"/>
      <c r="V542" s="1989">
        <f>V544</f>
        <v>709.05399999999997</v>
      </c>
      <c r="W542" s="1989">
        <f>W544</f>
        <v>737.41600000000005</v>
      </c>
      <c r="X542" s="84"/>
      <c r="Z542" s="2141"/>
    </row>
    <row r="543" spans="1:26" s="83" customFormat="1" ht="13" x14ac:dyDescent="0.3">
      <c r="A543" s="91"/>
      <c r="B543" s="2182" t="s">
        <v>852</v>
      </c>
      <c r="C543" s="9"/>
      <c r="D543" s="94"/>
      <c r="E543" s="34"/>
      <c r="F543" s="77" t="s">
        <v>78</v>
      </c>
      <c r="G543" s="9" t="s">
        <v>860</v>
      </c>
      <c r="H543" s="9"/>
      <c r="I543" s="33"/>
      <c r="J543" s="1060"/>
      <c r="K543" s="1061"/>
      <c r="L543" s="1064"/>
      <c r="M543" s="1563"/>
      <c r="N543" s="1989">
        <f>N544</f>
        <v>681.78300000000002</v>
      </c>
      <c r="O543" s="1990"/>
      <c r="P543" s="1934"/>
      <c r="Q543" s="1991"/>
      <c r="R543" s="1992"/>
      <c r="S543" s="84"/>
      <c r="T543" s="84"/>
      <c r="U543" s="84"/>
      <c r="V543" s="1989">
        <f t="shared" ref="V543:W543" si="259">V544</f>
        <v>709.05399999999997</v>
      </c>
      <c r="W543" s="1989">
        <f t="shared" si="259"/>
        <v>737.41600000000005</v>
      </c>
      <c r="X543" s="84"/>
      <c r="Z543" s="2141"/>
    </row>
    <row r="544" spans="1:26" s="83" customFormat="1" ht="23.5" customHeight="1" x14ac:dyDescent="0.3">
      <c r="A544" s="91"/>
      <c r="B544" s="2012" t="s">
        <v>80</v>
      </c>
      <c r="C544" s="89"/>
      <c r="D544" s="9" t="s">
        <v>44</v>
      </c>
      <c r="E544" s="9" t="s">
        <v>76</v>
      </c>
      <c r="F544" s="77" t="s">
        <v>78</v>
      </c>
      <c r="G544" s="33" t="s">
        <v>77</v>
      </c>
      <c r="H544" s="33"/>
      <c r="I544" s="89"/>
      <c r="J544" s="1063">
        <f>J545</f>
        <v>48</v>
      </c>
      <c r="K544" s="1063">
        <f>K545</f>
        <v>240.5</v>
      </c>
      <c r="L544" s="1063">
        <f>L545</f>
        <v>240.5</v>
      </c>
      <c r="M544" s="1125">
        <f>M545</f>
        <v>240.5</v>
      </c>
      <c r="N544" s="1986">
        <f t="shared" ref="N544:R544" si="260">N545</f>
        <v>681.78300000000002</v>
      </c>
      <c r="O544" s="1947">
        <f t="shared" si="260"/>
        <v>531.38</v>
      </c>
      <c r="P544" s="1941">
        <f t="shared" si="260"/>
        <v>584.51300000000003</v>
      </c>
      <c r="Q544" s="1987">
        <f t="shared" si="260"/>
        <v>639.61699999999996</v>
      </c>
      <c r="R544" s="1988">
        <f t="shared" si="260"/>
        <v>665.20100000000002</v>
      </c>
      <c r="S544" s="84"/>
      <c r="T544" s="84"/>
      <c r="U544" s="84"/>
      <c r="V544" s="1986">
        <f t="shared" ref="V544:W544" si="261">V545</f>
        <v>709.05399999999997</v>
      </c>
      <c r="W544" s="1986">
        <f t="shared" si="261"/>
        <v>737.41600000000005</v>
      </c>
      <c r="X544" s="84"/>
      <c r="Z544" s="2141"/>
    </row>
    <row r="545" spans="1:26" s="83" customFormat="1" ht="13" x14ac:dyDescent="0.3">
      <c r="A545" s="91"/>
      <c r="B545" s="90" t="s">
        <v>79</v>
      </c>
      <c r="C545" s="89"/>
      <c r="D545" s="9" t="s">
        <v>44</v>
      </c>
      <c r="E545" s="9" t="s">
        <v>76</v>
      </c>
      <c r="F545" s="77" t="s">
        <v>78</v>
      </c>
      <c r="G545" s="33" t="s">
        <v>77</v>
      </c>
      <c r="H545" s="33" t="s">
        <v>496</v>
      </c>
      <c r="I545" s="33" t="s">
        <v>456</v>
      </c>
      <c r="J545" s="1063">
        <v>48</v>
      </c>
      <c r="K545" s="1063">
        <v>240.5</v>
      </c>
      <c r="L545" s="1063">
        <v>240.5</v>
      </c>
      <c r="M545" s="1125">
        <v>240.5</v>
      </c>
      <c r="N545" s="1998">
        <v>681.78300000000002</v>
      </c>
      <c r="O545" s="1947">
        <v>531.38</v>
      </c>
      <c r="P545" s="1941">
        <v>584.51300000000003</v>
      </c>
      <c r="Q545" s="2000">
        <v>639.61699999999996</v>
      </c>
      <c r="R545" s="2001">
        <v>665.20100000000002</v>
      </c>
      <c r="S545" s="84"/>
      <c r="T545" s="84"/>
      <c r="U545" s="84"/>
      <c r="V545" s="1998">
        <v>709.05399999999997</v>
      </c>
      <c r="W545" s="1998">
        <v>737.41600000000005</v>
      </c>
      <c r="X545" s="84"/>
      <c r="Z545" s="2141"/>
    </row>
    <row r="546" spans="1:26" s="83" customFormat="1" ht="21" hidden="1" x14ac:dyDescent="0.3">
      <c r="A546" s="91"/>
      <c r="B546" s="1242" t="s">
        <v>930</v>
      </c>
      <c r="C546" s="9"/>
      <c r="D546" s="9" t="s">
        <v>15</v>
      </c>
      <c r="E546" s="9" t="s">
        <v>13</v>
      </c>
      <c r="F546" s="34" t="s">
        <v>925</v>
      </c>
      <c r="G546" s="33"/>
      <c r="H546" s="33"/>
      <c r="I546" s="33"/>
      <c r="J546" s="47"/>
      <c r="K546" s="1063"/>
      <c r="L546" s="1063"/>
      <c r="M546" s="1125"/>
      <c r="N546" s="1986">
        <f>N547</f>
        <v>0</v>
      </c>
      <c r="O546" s="2027"/>
      <c r="P546" s="1950"/>
      <c r="Q546" s="2028"/>
      <c r="R546" s="2029"/>
      <c r="S546" s="84"/>
      <c r="T546" s="84"/>
      <c r="U546" s="84"/>
      <c r="V546" s="1986">
        <f>V547</f>
        <v>0</v>
      </c>
      <c r="W546" s="1986">
        <f>W547</f>
        <v>0</v>
      </c>
      <c r="X546" s="84"/>
      <c r="Z546" s="2141"/>
    </row>
    <row r="547" spans="1:26" s="83" customFormat="1" ht="21" hidden="1" x14ac:dyDescent="0.3">
      <c r="A547" s="91"/>
      <c r="B547" s="1182" t="s">
        <v>523</v>
      </c>
      <c r="C547" s="9"/>
      <c r="D547" s="9"/>
      <c r="E547" s="9"/>
      <c r="F547" s="9" t="s">
        <v>925</v>
      </c>
      <c r="G547" s="9" t="s">
        <v>521</v>
      </c>
      <c r="H547" s="9"/>
      <c r="I547" s="33"/>
      <c r="J547" s="47"/>
      <c r="K547" s="1063"/>
      <c r="L547" s="1063"/>
      <c r="M547" s="1125"/>
      <c r="N547" s="1986">
        <f>N548</f>
        <v>0</v>
      </c>
      <c r="O547" s="2027"/>
      <c r="P547" s="1950"/>
      <c r="Q547" s="2028"/>
      <c r="R547" s="2029"/>
      <c r="S547" s="84"/>
      <c r="T547" s="84"/>
      <c r="U547" s="84"/>
      <c r="V547" s="1986">
        <f>V548</f>
        <v>0</v>
      </c>
      <c r="W547" s="1986">
        <f>W548</f>
        <v>0</v>
      </c>
      <c r="X547" s="84"/>
      <c r="Z547" s="2141"/>
    </row>
    <row r="548" spans="1:26" s="83" customFormat="1" ht="13" hidden="1" x14ac:dyDescent="0.3">
      <c r="A548" s="91"/>
      <c r="B548" s="49" t="s">
        <v>39</v>
      </c>
      <c r="C548" s="9"/>
      <c r="D548" s="9"/>
      <c r="E548" s="9"/>
      <c r="F548" s="9" t="s">
        <v>925</v>
      </c>
      <c r="G548" s="9" t="s">
        <v>521</v>
      </c>
      <c r="H548" s="9" t="s">
        <v>463</v>
      </c>
      <c r="I548" s="9" t="s">
        <v>488</v>
      </c>
      <c r="J548" s="47"/>
      <c r="K548" s="1063"/>
      <c r="L548" s="1063"/>
      <c r="M548" s="1125"/>
      <c r="N548" s="1986"/>
      <c r="O548" s="2027"/>
      <c r="P548" s="1950"/>
      <c r="Q548" s="2028"/>
      <c r="R548" s="2029"/>
      <c r="S548" s="84"/>
      <c r="T548" s="84"/>
      <c r="U548" s="84"/>
      <c r="V548" s="1986"/>
      <c r="W548" s="1986"/>
      <c r="X548" s="84"/>
      <c r="Z548" s="2141"/>
    </row>
    <row r="549" spans="1:26" ht="30" customHeight="1" x14ac:dyDescent="0.25">
      <c r="A549" s="32"/>
      <c r="B549" s="49" t="s">
        <v>72</v>
      </c>
      <c r="C549" s="9"/>
      <c r="D549" s="88" t="s">
        <v>69</v>
      </c>
      <c r="E549" s="9" t="s">
        <v>66</v>
      </c>
      <c r="F549" s="34" t="s">
        <v>67</v>
      </c>
      <c r="G549" s="88" t="s">
        <v>71</v>
      </c>
      <c r="H549" s="88"/>
      <c r="I549" s="9"/>
      <c r="J549" s="1061">
        <f>J551</f>
        <v>2173</v>
      </c>
      <c r="K549" s="1061"/>
      <c r="L549" s="1061">
        <f t="shared" ref="L549:R549" si="262">L551</f>
        <v>2000</v>
      </c>
      <c r="M549" s="1550">
        <f t="shared" si="262"/>
        <v>2000</v>
      </c>
      <c r="N549" s="1982">
        <f t="shared" si="262"/>
        <v>2900</v>
      </c>
      <c r="O549" s="1994">
        <f t="shared" si="262"/>
        <v>2500.6</v>
      </c>
      <c r="P549" s="1939">
        <f t="shared" si="262"/>
        <v>2701.74</v>
      </c>
      <c r="Q549" s="1995">
        <f t="shared" si="262"/>
        <v>2900</v>
      </c>
      <c r="R549" s="1985">
        <f t="shared" si="262"/>
        <v>2980</v>
      </c>
      <c r="V549" s="1982">
        <f t="shared" ref="V549:W549" si="263">V551</f>
        <v>3200</v>
      </c>
      <c r="W549" s="1982">
        <f t="shared" si="263"/>
        <v>3180</v>
      </c>
    </row>
    <row r="550" spans="1:26" ht="19.5" customHeight="1" x14ac:dyDescent="0.25">
      <c r="A550" s="32"/>
      <c r="B550" s="2176" t="s">
        <v>1065</v>
      </c>
      <c r="C550" s="9"/>
      <c r="D550" s="88" t="s">
        <v>1065</v>
      </c>
      <c r="E550" s="9"/>
      <c r="F550" s="9" t="s">
        <v>67</v>
      </c>
      <c r="G550" s="88">
        <v>800</v>
      </c>
      <c r="H550" s="88"/>
      <c r="I550" s="9"/>
      <c r="J550" s="1061"/>
      <c r="K550" s="1061"/>
      <c r="L550" s="1061"/>
      <c r="M550" s="1550"/>
      <c r="N550" s="1986">
        <f>N551</f>
        <v>2900</v>
      </c>
      <c r="O550" s="1994"/>
      <c r="P550" s="1939"/>
      <c r="Q550" s="1995"/>
      <c r="R550" s="1985"/>
      <c r="V550" s="1982">
        <f t="shared" ref="V550:W550" si="264">V551</f>
        <v>3200</v>
      </c>
      <c r="W550" s="1982">
        <f t="shared" si="264"/>
        <v>3180</v>
      </c>
    </row>
    <row r="551" spans="1:26" ht="13" x14ac:dyDescent="0.3">
      <c r="A551" s="32"/>
      <c r="B551" s="744" t="s">
        <v>70</v>
      </c>
      <c r="C551" s="9"/>
      <c r="D551" s="88" t="s">
        <v>69</v>
      </c>
      <c r="E551" s="9" t="s">
        <v>66</v>
      </c>
      <c r="F551" s="9" t="s">
        <v>67</v>
      </c>
      <c r="G551" s="88">
        <v>870</v>
      </c>
      <c r="H551" s="88"/>
      <c r="I551" s="9"/>
      <c r="J551" s="1061">
        <f>J552</f>
        <v>2173</v>
      </c>
      <c r="K551" s="1061"/>
      <c r="L551" s="1061">
        <v>2000</v>
      </c>
      <c r="M551" s="1550">
        <v>2000</v>
      </c>
      <c r="N551" s="1986">
        <f>N552</f>
        <v>2900</v>
      </c>
      <c r="O551" s="1947">
        <f>O552</f>
        <v>2500.6</v>
      </c>
      <c r="P551" s="1941">
        <f>P552</f>
        <v>2701.74</v>
      </c>
      <c r="Q551" s="1987">
        <f>Q552</f>
        <v>2900</v>
      </c>
      <c r="R551" s="1988">
        <f>R552</f>
        <v>2980</v>
      </c>
      <c r="V551" s="1986">
        <f>V552</f>
        <v>3200</v>
      </c>
      <c r="W551" s="1986">
        <f>W552</f>
        <v>3180</v>
      </c>
    </row>
    <row r="552" spans="1:26" ht="13" x14ac:dyDescent="0.3">
      <c r="A552" s="32"/>
      <c r="B552" s="2003" t="s">
        <v>68</v>
      </c>
      <c r="C552" s="9"/>
      <c r="D552" s="88"/>
      <c r="E552" s="9"/>
      <c r="F552" s="9" t="s">
        <v>67</v>
      </c>
      <c r="G552" s="88">
        <v>870</v>
      </c>
      <c r="H552" s="9" t="s">
        <v>456</v>
      </c>
      <c r="I552" s="9" t="s">
        <v>464</v>
      </c>
      <c r="J552" s="1061">
        <f>2175-2</f>
        <v>2173</v>
      </c>
      <c r="K552" s="1061"/>
      <c r="L552" s="1061">
        <v>2000</v>
      </c>
      <c r="M552" s="1550">
        <v>2000</v>
      </c>
      <c r="N552" s="1986">
        <v>2900</v>
      </c>
      <c r="O552" s="1947">
        <v>2500.6</v>
      </c>
      <c r="P552" s="1941">
        <v>2701.74</v>
      </c>
      <c r="Q552" s="1987">
        <v>2900</v>
      </c>
      <c r="R552" s="1988">
        <v>2980</v>
      </c>
      <c r="V552" s="1986">
        <v>3200</v>
      </c>
      <c r="W552" s="1986">
        <v>3180</v>
      </c>
    </row>
    <row r="553" spans="1:26" ht="39" hidden="1" x14ac:dyDescent="0.25">
      <c r="A553" s="32"/>
      <c r="B553" s="1993" t="s">
        <v>65</v>
      </c>
      <c r="C553" s="9"/>
      <c r="D553" s="88"/>
      <c r="E553" s="9"/>
      <c r="F553" s="34" t="s">
        <v>63</v>
      </c>
      <c r="G553" s="88"/>
      <c r="H553" s="88"/>
      <c r="I553" s="9"/>
      <c r="J553" s="1061"/>
      <c r="K553" s="1061"/>
      <c r="L553" s="1061"/>
      <c r="M553" s="1124"/>
      <c r="N553" s="1986"/>
      <c r="O553" s="1947"/>
      <c r="P553" s="1941"/>
      <c r="Q553" s="1987"/>
      <c r="R553" s="1988"/>
      <c r="V553" s="1986"/>
      <c r="W553" s="1986"/>
    </row>
    <row r="554" spans="1:26" ht="26" hidden="1" x14ac:dyDescent="0.25">
      <c r="A554" s="32"/>
      <c r="B554" s="1993" t="s">
        <v>4</v>
      </c>
      <c r="C554" s="9"/>
      <c r="D554" s="88"/>
      <c r="E554" s="9"/>
      <c r="F554" s="9" t="s">
        <v>63</v>
      </c>
      <c r="G554" s="9" t="s">
        <v>1</v>
      </c>
      <c r="H554" s="9"/>
      <c r="I554" s="9"/>
      <c r="J554" s="1061"/>
      <c r="K554" s="1061"/>
      <c r="L554" s="1061"/>
      <c r="M554" s="1124"/>
      <c r="N554" s="1986"/>
      <c r="O554" s="1947"/>
      <c r="P554" s="1941"/>
      <c r="Q554" s="1987"/>
      <c r="R554" s="1988"/>
      <c r="V554" s="1986"/>
      <c r="W554" s="1986"/>
    </row>
    <row r="555" spans="1:26" ht="13" hidden="1" x14ac:dyDescent="0.25">
      <c r="A555" s="32"/>
      <c r="B555" s="49" t="s">
        <v>64</v>
      </c>
      <c r="C555" s="9"/>
      <c r="D555" s="88"/>
      <c r="E555" s="9"/>
      <c r="F555" s="9" t="s">
        <v>63</v>
      </c>
      <c r="G555" s="9" t="s">
        <v>1</v>
      </c>
      <c r="H555" s="9"/>
      <c r="I555" s="9" t="s">
        <v>62</v>
      </c>
      <c r="J555" s="1061"/>
      <c r="K555" s="1061"/>
      <c r="L555" s="1061"/>
      <c r="M555" s="1124"/>
      <c r="N555" s="1986"/>
      <c r="O555" s="1947"/>
      <c r="P555" s="1941"/>
      <c r="Q555" s="1987"/>
      <c r="R555" s="1988"/>
      <c r="V555" s="1986"/>
      <c r="W555" s="1986"/>
    </row>
    <row r="556" spans="1:26" ht="26" hidden="1" x14ac:dyDescent="0.25">
      <c r="A556" s="32"/>
      <c r="B556" s="58" t="s">
        <v>29</v>
      </c>
      <c r="C556" s="9"/>
      <c r="D556" s="9" t="s">
        <v>15</v>
      </c>
      <c r="E556" s="9" t="s">
        <v>9</v>
      </c>
      <c r="F556" s="34" t="s">
        <v>27</v>
      </c>
      <c r="G556" s="48"/>
      <c r="H556" s="48"/>
      <c r="I556" s="9"/>
      <c r="J556" s="57">
        <f>J558</f>
        <v>0</v>
      </c>
      <c r="K556" s="1061"/>
      <c r="L556" s="1061"/>
      <c r="M556" s="1124"/>
      <c r="N556" s="2021">
        <f>N558</f>
        <v>0</v>
      </c>
      <c r="O556" s="1953">
        <f>O558</f>
        <v>0</v>
      </c>
      <c r="P556" s="1953">
        <f>P558</f>
        <v>0</v>
      </c>
      <c r="Q556" s="2078">
        <f>Q558</f>
        <v>0</v>
      </c>
      <c r="R556" s="2079">
        <f>R558</f>
        <v>0</v>
      </c>
      <c r="V556" s="2021">
        <f>V558</f>
        <v>0</v>
      </c>
      <c r="W556" s="2021">
        <f>W558</f>
        <v>0</v>
      </c>
    </row>
    <row r="557" spans="1:26" ht="13" hidden="1" x14ac:dyDescent="0.25">
      <c r="A557" s="32"/>
      <c r="B557" s="2080" t="s">
        <v>28</v>
      </c>
      <c r="C557" s="9"/>
      <c r="D557" s="9"/>
      <c r="E557" s="9"/>
      <c r="F557" s="9" t="s">
        <v>27</v>
      </c>
      <c r="G557" s="9" t="s">
        <v>26</v>
      </c>
      <c r="H557" s="9"/>
      <c r="I557" s="9"/>
      <c r="J557" s="1061"/>
      <c r="K557" s="1061"/>
      <c r="L557" s="1061"/>
      <c r="M557" s="1124"/>
      <c r="N557" s="1986"/>
      <c r="O557" s="1947"/>
      <c r="P557" s="1941"/>
      <c r="Q557" s="1987"/>
      <c r="R557" s="1988"/>
      <c r="V557" s="1986"/>
      <c r="W557" s="1986"/>
    </row>
    <row r="558" spans="1:26" ht="13" hidden="1" x14ac:dyDescent="0.3">
      <c r="A558" s="32"/>
      <c r="B558" s="744" t="s">
        <v>11</v>
      </c>
      <c r="C558" s="9"/>
      <c r="D558" s="9" t="s">
        <v>15</v>
      </c>
      <c r="E558" s="9" t="s">
        <v>9</v>
      </c>
      <c r="F558" s="9" t="s">
        <v>27</v>
      </c>
      <c r="G558" s="9" t="s">
        <v>26</v>
      </c>
      <c r="H558" s="9"/>
      <c r="I558" s="9" t="s">
        <v>9</v>
      </c>
      <c r="J558" s="1061"/>
      <c r="K558" s="1061"/>
      <c r="L558" s="1061"/>
      <c r="M558" s="1124"/>
      <c r="N558" s="1986"/>
      <c r="O558" s="1947"/>
      <c r="P558" s="1941"/>
      <c r="Q558" s="1987"/>
      <c r="R558" s="1988"/>
      <c r="V558" s="1986"/>
      <c r="W558" s="1986"/>
    </row>
    <row r="559" spans="1:26" ht="26" hidden="1" x14ac:dyDescent="0.25">
      <c r="A559" s="32"/>
      <c r="B559" s="1098" t="s">
        <v>863</v>
      </c>
      <c r="C559" s="9"/>
      <c r="D559" s="88"/>
      <c r="E559" s="9"/>
      <c r="F559" s="34" t="s">
        <v>862</v>
      </c>
      <c r="G559" s="88"/>
      <c r="H559" s="88"/>
      <c r="I559" s="9"/>
      <c r="J559" s="1061"/>
      <c r="K559" s="1061"/>
      <c r="L559" s="1061"/>
      <c r="M559" s="1124"/>
      <c r="N559" s="1982"/>
      <c r="O559" s="1947"/>
      <c r="P559" s="1941"/>
      <c r="Q559" s="1995"/>
      <c r="R559" s="1985"/>
      <c r="V559" s="1982"/>
      <c r="W559" s="1982"/>
    </row>
    <row r="560" spans="1:26" ht="26" hidden="1" x14ac:dyDescent="0.3">
      <c r="A560" s="32"/>
      <c r="B560" s="1993" t="s">
        <v>4</v>
      </c>
      <c r="C560" s="89"/>
      <c r="D560" s="9" t="s">
        <v>52</v>
      </c>
      <c r="E560" s="9" t="s">
        <v>58</v>
      </c>
      <c r="F560" s="9" t="s">
        <v>862</v>
      </c>
      <c r="G560" s="88">
        <v>240</v>
      </c>
      <c r="H560" s="88"/>
      <c r="I560" s="1063"/>
      <c r="J560" s="1061"/>
      <c r="K560" s="1063"/>
      <c r="L560" s="1063"/>
      <c r="M560" s="84"/>
      <c r="N560" s="1986"/>
      <c r="O560" s="1947"/>
      <c r="P560" s="1941"/>
      <c r="Q560" s="1987"/>
      <c r="R560" s="1988"/>
      <c r="V560" s="1986"/>
      <c r="W560" s="1986"/>
    </row>
    <row r="561" spans="1:26" ht="13" hidden="1" x14ac:dyDescent="0.3">
      <c r="A561" s="32"/>
      <c r="B561" s="90" t="s">
        <v>60</v>
      </c>
      <c r="C561" s="89"/>
      <c r="D561" s="9"/>
      <c r="E561" s="9"/>
      <c r="F561" s="9" t="s">
        <v>862</v>
      </c>
      <c r="G561" s="88">
        <v>240</v>
      </c>
      <c r="H561" s="9" t="s">
        <v>452</v>
      </c>
      <c r="I561" s="9" t="s">
        <v>539</v>
      </c>
      <c r="J561" s="1061"/>
      <c r="K561" s="1063"/>
      <c r="L561" s="1063"/>
      <c r="M561" s="84"/>
      <c r="N561" s="1986"/>
      <c r="O561" s="1947"/>
      <c r="P561" s="1941"/>
      <c r="Q561" s="1987"/>
      <c r="R561" s="1988"/>
      <c r="V561" s="1986"/>
      <c r="W561" s="1986"/>
    </row>
    <row r="562" spans="1:26" s="83" customFormat="1" ht="13" hidden="1" x14ac:dyDescent="0.3">
      <c r="A562" s="85"/>
      <c r="B562" s="49" t="s">
        <v>57</v>
      </c>
      <c r="C562" s="9"/>
      <c r="D562" s="9" t="s">
        <v>52</v>
      </c>
      <c r="E562" s="9" t="s">
        <v>49</v>
      </c>
      <c r="F562" s="34" t="s">
        <v>56</v>
      </c>
      <c r="G562" s="34"/>
      <c r="H562" s="34"/>
      <c r="I562" s="9"/>
      <c r="J562" s="1065">
        <f>J563</f>
        <v>0</v>
      </c>
      <c r="K562" s="1065"/>
      <c r="L562" s="1065">
        <f t="shared" ref="L562:R562" si="265">L563</f>
        <v>0</v>
      </c>
      <c r="M562" s="1552">
        <f t="shared" si="265"/>
        <v>0</v>
      </c>
      <c r="N562" s="1982">
        <f t="shared" si="265"/>
        <v>0</v>
      </c>
      <c r="O562" s="1994">
        <f t="shared" si="265"/>
        <v>0</v>
      </c>
      <c r="P562" s="1939">
        <f t="shared" si="265"/>
        <v>0</v>
      </c>
      <c r="Q562" s="1995">
        <f t="shared" si="265"/>
        <v>0</v>
      </c>
      <c r="R562" s="1985">
        <f t="shared" si="265"/>
        <v>0</v>
      </c>
      <c r="S562" s="84"/>
      <c r="T562" s="84"/>
      <c r="U562" s="84"/>
      <c r="V562" s="1982">
        <f t="shared" ref="V562:W562" si="266">V563</f>
        <v>0</v>
      </c>
      <c r="W562" s="1982">
        <f t="shared" si="266"/>
        <v>0</v>
      </c>
      <c r="X562" s="84"/>
      <c r="Z562" s="2141"/>
    </row>
    <row r="563" spans="1:26" s="83" customFormat="1" ht="26" hidden="1" x14ac:dyDescent="0.3">
      <c r="A563" s="85"/>
      <c r="B563" s="1993" t="s">
        <v>4</v>
      </c>
      <c r="C563" s="9"/>
      <c r="D563" s="9" t="s">
        <v>52</v>
      </c>
      <c r="E563" s="9" t="s">
        <v>49</v>
      </c>
      <c r="F563" s="9" t="s">
        <v>56</v>
      </c>
      <c r="G563" s="9" t="s">
        <v>1</v>
      </c>
      <c r="H563" s="9"/>
      <c r="I563" s="9"/>
      <c r="J563" s="1063">
        <f>J564</f>
        <v>0</v>
      </c>
      <c r="K563" s="1063"/>
      <c r="L563" s="1063"/>
      <c r="M563" s="1125"/>
      <c r="N563" s="1986">
        <f>N564</f>
        <v>0</v>
      </c>
      <c r="O563" s="1947">
        <f>O564</f>
        <v>0</v>
      </c>
      <c r="P563" s="1941">
        <f>P564</f>
        <v>0</v>
      </c>
      <c r="Q563" s="1987">
        <f>Q564</f>
        <v>0</v>
      </c>
      <c r="R563" s="1988">
        <f>R564</f>
        <v>0</v>
      </c>
      <c r="S563" s="84"/>
      <c r="T563" s="84"/>
      <c r="U563" s="84"/>
      <c r="V563" s="1986">
        <f>V564</f>
        <v>0</v>
      </c>
      <c r="W563" s="1986">
        <f>W564</f>
        <v>0</v>
      </c>
      <c r="X563" s="84"/>
      <c r="Z563" s="2141"/>
    </row>
    <row r="564" spans="1:26" s="83" customFormat="1" ht="13" hidden="1" x14ac:dyDescent="0.3">
      <c r="A564" s="85"/>
      <c r="B564" s="2003" t="s">
        <v>51</v>
      </c>
      <c r="C564" s="9"/>
      <c r="D564" s="9"/>
      <c r="E564" s="9"/>
      <c r="F564" s="9" t="s">
        <v>56</v>
      </c>
      <c r="G564" s="9" t="s">
        <v>1</v>
      </c>
      <c r="H564" s="9"/>
      <c r="I564" s="9" t="s">
        <v>49</v>
      </c>
      <c r="J564" s="1063"/>
      <c r="K564" s="1063"/>
      <c r="L564" s="1063"/>
      <c r="M564" s="1125"/>
      <c r="N564" s="1986"/>
      <c r="O564" s="1947"/>
      <c r="P564" s="1941"/>
      <c r="Q564" s="1987"/>
      <c r="R564" s="1988"/>
      <c r="S564" s="84"/>
      <c r="T564" s="84"/>
      <c r="U564" s="84"/>
      <c r="V564" s="1986"/>
      <c r="W564" s="1986"/>
      <c r="X564" s="84"/>
      <c r="Z564" s="2141"/>
    </row>
    <row r="565" spans="1:26" s="83" customFormat="1" ht="13" hidden="1" x14ac:dyDescent="0.3">
      <c r="A565" s="85"/>
      <c r="B565" s="49" t="s">
        <v>55</v>
      </c>
      <c r="C565" s="9"/>
      <c r="D565" s="9" t="s">
        <v>52</v>
      </c>
      <c r="E565" s="9" t="s">
        <v>49</v>
      </c>
      <c r="F565" s="34" t="s">
        <v>54</v>
      </c>
      <c r="G565" s="9"/>
      <c r="H565" s="9"/>
      <c r="I565" s="9"/>
      <c r="J565" s="1065">
        <f>J566</f>
        <v>94.8</v>
      </c>
      <c r="K565" s="1065"/>
      <c r="L565" s="1065">
        <f t="shared" ref="L565:R565" si="267">L566</f>
        <v>64.8</v>
      </c>
      <c r="M565" s="1552">
        <f t="shared" si="267"/>
        <v>64.8</v>
      </c>
      <c r="N565" s="1982">
        <f t="shared" si="267"/>
        <v>0</v>
      </c>
      <c r="O565" s="1994">
        <f t="shared" si="267"/>
        <v>0</v>
      </c>
      <c r="P565" s="1939">
        <f t="shared" si="267"/>
        <v>0</v>
      </c>
      <c r="Q565" s="1995">
        <f t="shared" si="267"/>
        <v>0</v>
      </c>
      <c r="R565" s="1985">
        <f t="shared" si="267"/>
        <v>0</v>
      </c>
      <c r="S565" s="84"/>
      <c r="T565" s="84"/>
      <c r="U565" s="84"/>
      <c r="V565" s="1982">
        <f t="shared" ref="V565:W565" si="268">V566</f>
        <v>0</v>
      </c>
      <c r="W565" s="1982">
        <f t="shared" si="268"/>
        <v>0</v>
      </c>
      <c r="X565" s="84"/>
      <c r="Z565" s="2141"/>
    </row>
    <row r="566" spans="1:26" s="83" customFormat="1" ht="26" hidden="1" x14ac:dyDescent="0.3">
      <c r="A566" s="85"/>
      <c r="B566" s="1993" t="s">
        <v>4</v>
      </c>
      <c r="C566" s="9"/>
      <c r="D566" s="9" t="s">
        <v>52</v>
      </c>
      <c r="E566" s="9" t="s">
        <v>49</v>
      </c>
      <c r="F566" s="9" t="s">
        <v>54</v>
      </c>
      <c r="G566" s="9" t="s">
        <v>1</v>
      </c>
      <c r="H566" s="9"/>
      <c r="I566" s="9"/>
      <c r="J566" s="1063">
        <f>J567</f>
        <v>94.8</v>
      </c>
      <c r="K566" s="1063"/>
      <c r="L566" s="1063">
        <v>64.8</v>
      </c>
      <c r="M566" s="1125">
        <v>64.8</v>
      </c>
      <c r="N566" s="1986">
        <f>N567</f>
        <v>0</v>
      </c>
      <c r="O566" s="1947">
        <f>O567</f>
        <v>0</v>
      </c>
      <c r="P566" s="1941">
        <f>P567</f>
        <v>0</v>
      </c>
      <c r="Q566" s="1987">
        <f>Q567</f>
        <v>0</v>
      </c>
      <c r="R566" s="1988">
        <f>R567</f>
        <v>0</v>
      </c>
      <c r="S566" s="84"/>
      <c r="T566" s="84"/>
      <c r="U566" s="84"/>
      <c r="V566" s="1986">
        <f>V567</f>
        <v>0</v>
      </c>
      <c r="W566" s="1986">
        <f>W567</f>
        <v>0</v>
      </c>
      <c r="X566" s="84"/>
      <c r="Z566" s="2141"/>
    </row>
    <row r="567" spans="1:26" s="83" customFormat="1" ht="13" hidden="1" x14ac:dyDescent="0.3">
      <c r="A567" s="85"/>
      <c r="B567" s="2003" t="s">
        <v>51</v>
      </c>
      <c r="C567" s="9"/>
      <c r="D567" s="9"/>
      <c r="E567" s="9"/>
      <c r="F567" s="9" t="s">
        <v>54</v>
      </c>
      <c r="G567" s="9" t="s">
        <v>1</v>
      </c>
      <c r="H567" s="9"/>
      <c r="I567" s="9" t="s">
        <v>49</v>
      </c>
      <c r="J567" s="1063">
        <v>94.8</v>
      </c>
      <c r="K567" s="1063"/>
      <c r="L567" s="1063">
        <v>64.8</v>
      </c>
      <c r="M567" s="1125">
        <v>64.8</v>
      </c>
      <c r="N567" s="1986"/>
      <c r="O567" s="1947"/>
      <c r="P567" s="1941"/>
      <c r="Q567" s="1987"/>
      <c r="R567" s="1988"/>
      <c r="S567" s="84"/>
      <c r="T567" s="84"/>
      <c r="U567" s="84"/>
      <c r="V567" s="1986"/>
      <c r="W567" s="1986"/>
      <c r="X567" s="84"/>
      <c r="Z567" s="2141"/>
    </row>
    <row r="568" spans="1:26" s="83" customFormat="1" ht="13" x14ac:dyDescent="0.3">
      <c r="A568" s="85"/>
      <c r="B568" s="49" t="s">
        <v>57</v>
      </c>
      <c r="C568" s="9"/>
      <c r="D568" s="9"/>
      <c r="E568" s="9"/>
      <c r="F568" s="89" t="s">
        <v>536</v>
      </c>
      <c r="G568" s="9"/>
      <c r="H568" s="9"/>
      <c r="I568" s="535"/>
      <c r="J568" s="1125"/>
      <c r="K568" s="1122"/>
      <c r="L568" s="1122"/>
      <c r="M568" s="1122"/>
      <c r="N568" s="1982">
        <f>N570</f>
        <v>1816.5950199999997</v>
      </c>
      <c r="O568" s="2081"/>
      <c r="P568" s="2081"/>
      <c r="Q568" s="1995">
        <f>Q570</f>
        <v>902.4</v>
      </c>
      <c r="R568" s="1985">
        <f>R570</f>
        <v>248.7</v>
      </c>
      <c r="S568" s="84"/>
      <c r="T568" s="84"/>
      <c r="U568" s="84"/>
      <c r="V568" s="1982">
        <f>V570</f>
        <v>1174.2539999999999</v>
      </c>
      <c r="W568" s="1982">
        <f>W570</f>
        <v>722.18</v>
      </c>
      <c r="X568" s="84"/>
      <c r="Z568" s="2141"/>
    </row>
    <row r="569" spans="1:26" s="83" customFormat="1" ht="26" x14ac:dyDescent="0.3">
      <c r="A569" s="85"/>
      <c r="B569" s="724" t="s">
        <v>948</v>
      </c>
      <c r="C569" s="9"/>
      <c r="D569" s="9"/>
      <c r="E569" s="9"/>
      <c r="F569" s="33" t="s">
        <v>536</v>
      </c>
      <c r="G569" s="9" t="s">
        <v>955</v>
      </c>
      <c r="H569" s="9"/>
      <c r="I569" s="535"/>
      <c r="J569" s="1125"/>
      <c r="K569" s="1122"/>
      <c r="L569" s="1122"/>
      <c r="M569" s="1122"/>
      <c r="N569" s="1986">
        <f>N570</f>
        <v>1816.5950199999997</v>
      </c>
      <c r="O569" s="2081"/>
      <c r="P569" s="2081"/>
      <c r="Q569" s="1995"/>
      <c r="R569" s="1985"/>
      <c r="S569" s="84"/>
      <c r="T569" s="84"/>
      <c r="U569" s="84"/>
      <c r="V569" s="1982">
        <f t="shared" ref="V569:W569" si="269">V570</f>
        <v>1174.2539999999999</v>
      </c>
      <c r="W569" s="1982">
        <f t="shared" si="269"/>
        <v>722.18</v>
      </c>
      <c r="X569" s="84"/>
      <c r="Z569" s="2141"/>
    </row>
    <row r="570" spans="1:26" s="83" customFormat="1" ht="13" x14ac:dyDescent="0.3">
      <c r="A570" s="85"/>
      <c r="B570" s="744" t="s">
        <v>16</v>
      </c>
      <c r="C570" s="9"/>
      <c r="D570" s="9"/>
      <c r="E570" s="9"/>
      <c r="F570" s="33" t="s">
        <v>536</v>
      </c>
      <c r="G570" s="9" t="s">
        <v>1</v>
      </c>
      <c r="H570" s="9"/>
      <c r="I570" s="535"/>
      <c r="J570" s="1125"/>
      <c r="K570" s="1122"/>
      <c r="L570" s="1122"/>
      <c r="M570" s="1122"/>
      <c r="N570" s="1986">
        <f>N571</f>
        <v>1816.5950199999997</v>
      </c>
      <c r="O570" s="2081"/>
      <c r="P570" s="2081"/>
      <c r="Q570" s="1987">
        <f>Q571</f>
        <v>902.4</v>
      </c>
      <c r="R570" s="1988">
        <f>R571</f>
        <v>248.7</v>
      </c>
      <c r="S570" s="84"/>
      <c r="T570" s="84"/>
      <c r="U570" s="84"/>
      <c r="V570" s="1986">
        <f>V571</f>
        <v>1174.2539999999999</v>
      </c>
      <c r="W570" s="1986">
        <f>W571</f>
        <v>722.18</v>
      </c>
      <c r="X570" s="84"/>
      <c r="Z570" s="2141"/>
    </row>
    <row r="571" spans="1:26" s="83" customFormat="1" ht="13" x14ac:dyDescent="0.3">
      <c r="A571" s="85"/>
      <c r="B571" s="2003" t="s">
        <v>51</v>
      </c>
      <c r="C571" s="9"/>
      <c r="D571" s="9"/>
      <c r="E571" s="9"/>
      <c r="F571" s="33" t="s">
        <v>536</v>
      </c>
      <c r="G571" s="9" t="s">
        <v>1</v>
      </c>
      <c r="H571" s="9" t="s">
        <v>452</v>
      </c>
      <c r="I571" s="535" t="s">
        <v>534</v>
      </c>
      <c r="J571" s="1125"/>
      <c r="K571" s="1122"/>
      <c r="L571" s="1122"/>
      <c r="M571" s="1122"/>
      <c r="N571" s="1986">
        <f>2098.274+0.06-281.73898</f>
        <v>1816.5950199999997</v>
      </c>
      <c r="O571" s="2081"/>
      <c r="P571" s="2081"/>
      <c r="Q571" s="1987">
        <v>902.4</v>
      </c>
      <c r="R571" s="1988">
        <v>248.7</v>
      </c>
      <c r="S571" s="84"/>
      <c r="T571" s="84"/>
      <c r="U571" s="84"/>
      <c r="V571" s="1986">
        <f>2174.194-1000+0.06</f>
        <v>1174.2539999999999</v>
      </c>
      <c r="W571" s="1986">
        <f>722.12+0.06</f>
        <v>722.18</v>
      </c>
      <c r="X571" s="84"/>
      <c r="Z571" s="2141"/>
    </row>
    <row r="572" spans="1:26" s="83" customFormat="1" ht="13" x14ac:dyDescent="0.3">
      <c r="A572" s="85"/>
      <c r="B572" s="537" t="s">
        <v>535</v>
      </c>
      <c r="C572" s="9"/>
      <c r="D572" s="9"/>
      <c r="E572" s="9"/>
      <c r="F572" s="89" t="s">
        <v>54</v>
      </c>
      <c r="G572" s="9"/>
      <c r="H572" s="9"/>
      <c r="I572" s="535"/>
      <c r="J572" s="1125"/>
      <c r="K572" s="1122"/>
      <c r="L572" s="1122"/>
      <c r="M572" s="1122"/>
      <c r="N572" s="1982">
        <f>N574</f>
        <v>94.8</v>
      </c>
      <c r="O572" s="2081"/>
      <c r="P572" s="2081"/>
      <c r="Q572" s="1995"/>
      <c r="R572" s="1985"/>
      <c r="S572" s="84"/>
      <c r="T572" s="84"/>
      <c r="U572" s="84"/>
      <c r="V572" s="1982">
        <f>V574</f>
        <v>94.8</v>
      </c>
      <c r="W572" s="1982">
        <f>W574</f>
        <v>94.8</v>
      </c>
      <c r="X572" s="84"/>
      <c r="Z572" s="2141"/>
    </row>
    <row r="573" spans="1:26" s="83" customFormat="1" ht="26" x14ac:dyDescent="0.3">
      <c r="A573" s="85"/>
      <c r="B573" s="724" t="s">
        <v>948</v>
      </c>
      <c r="C573" s="9"/>
      <c r="D573" s="9"/>
      <c r="E573" s="9"/>
      <c r="F573" s="33" t="s">
        <v>54</v>
      </c>
      <c r="G573" s="9" t="s">
        <v>955</v>
      </c>
      <c r="H573" s="9"/>
      <c r="I573" s="535"/>
      <c r="J573" s="1125"/>
      <c r="K573" s="1122"/>
      <c r="L573" s="1122"/>
      <c r="M573" s="1122"/>
      <c r="N573" s="1986">
        <f>N574</f>
        <v>94.8</v>
      </c>
      <c r="O573" s="2081"/>
      <c r="P573" s="2081"/>
      <c r="Q573" s="1995"/>
      <c r="R573" s="1985"/>
      <c r="S573" s="84"/>
      <c r="T573" s="84"/>
      <c r="U573" s="84"/>
      <c r="V573" s="1982">
        <f t="shared" ref="V573:W573" si="270">V574</f>
        <v>94.8</v>
      </c>
      <c r="W573" s="1982">
        <f t="shared" si="270"/>
        <v>94.8</v>
      </c>
      <c r="X573" s="84"/>
      <c r="Z573" s="2141"/>
    </row>
    <row r="574" spans="1:26" s="83" customFormat="1" ht="13" x14ac:dyDescent="0.3">
      <c r="A574" s="85"/>
      <c r="B574" s="744" t="s">
        <v>16</v>
      </c>
      <c r="C574" s="9"/>
      <c r="D574" s="9"/>
      <c r="E574" s="9"/>
      <c r="F574" s="33" t="s">
        <v>54</v>
      </c>
      <c r="G574" s="9" t="s">
        <v>1</v>
      </c>
      <c r="H574" s="9"/>
      <c r="I574" s="535"/>
      <c r="J574" s="1125"/>
      <c r="K574" s="1122"/>
      <c r="L574" s="1122"/>
      <c r="M574" s="1122"/>
      <c r="N574" s="1986">
        <f>N575</f>
        <v>94.8</v>
      </c>
      <c r="O574" s="2081"/>
      <c r="P574" s="2081"/>
      <c r="Q574" s="1987"/>
      <c r="R574" s="1988"/>
      <c r="S574" s="84"/>
      <c r="T574" s="84"/>
      <c r="U574" s="84"/>
      <c r="V574" s="1986">
        <f>V575</f>
        <v>94.8</v>
      </c>
      <c r="W574" s="1986">
        <f>W575</f>
        <v>94.8</v>
      </c>
      <c r="X574" s="84"/>
      <c r="Z574" s="2141"/>
    </row>
    <row r="575" spans="1:26" s="83" customFormat="1" ht="13" x14ac:dyDescent="0.3">
      <c r="A575" s="85"/>
      <c r="B575" s="2003" t="s">
        <v>51</v>
      </c>
      <c r="C575" s="9"/>
      <c r="D575" s="9"/>
      <c r="E575" s="9"/>
      <c r="F575" s="33" t="s">
        <v>54</v>
      </c>
      <c r="G575" s="9" t="s">
        <v>1</v>
      </c>
      <c r="H575" s="9" t="s">
        <v>452</v>
      </c>
      <c r="I575" s="535" t="s">
        <v>534</v>
      </c>
      <c r="J575" s="1125"/>
      <c r="K575" s="1122"/>
      <c r="L575" s="1122"/>
      <c r="M575" s="1122"/>
      <c r="N575" s="1986">
        <v>94.8</v>
      </c>
      <c r="O575" s="2081"/>
      <c r="P575" s="2081"/>
      <c r="Q575" s="1987"/>
      <c r="R575" s="1988"/>
      <c r="S575" s="84"/>
      <c r="T575" s="84"/>
      <c r="U575" s="84"/>
      <c r="V575" s="1986">
        <v>94.8</v>
      </c>
      <c r="W575" s="1986">
        <v>94.8</v>
      </c>
      <c r="X575" s="84"/>
      <c r="Z575" s="2141"/>
    </row>
    <row r="576" spans="1:26" s="83" customFormat="1" ht="39" hidden="1" x14ac:dyDescent="0.3">
      <c r="A576" s="85"/>
      <c r="B576" s="533" t="s">
        <v>788</v>
      </c>
      <c r="C576" s="9"/>
      <c r="D576" s="9"/>
      <c r="E576" s="9"/>
      <c r="F576" s="89" t="s">
        <v>789</v>
      </c>
      <c r="G576" s="9"/>
      <c r="H576" s="9"/>
      <c r="I576" s="535"/>
      <c r="J576" s="1125"/>
      <c r="K576" s="1122"/>
      <c r="L576" s="1122"/>
      <c r="M576" s="1122"/>
      <c r="N576" s="1982">
        <f>N577</f>
        <v>0</v>
      </c>
      <c r="O576" s="2081"/>
      <c r="P576" s="2081"/>
      <c r="Q576" s="1995">
        <f>Q577</f>
        <v>0</v>
      </c>
      <c r="R576" s="1985">
        <f>R577</f>
        <v>0</v>
      </c>
      <c r="S576" s="84"/>
      <c r="T576" s="84"/>
      <c r="U576" s="84"/>
      <c r="V576" s="1982">
        <f>V577</f>
        <v>0</v>
      </c>
      <c r="W576" s="1982">
        <f>W577</f>
        <v>0</v>
      </c>
      <c r="X576" s="84"/>
      <c r="Z576" s="2141"/>
    </row>
    <row r="577" spans="1:26" ht="13" hidden="1" x14ac:dyDescent="0.3">
      <c r="A577" s="842"/>
      <c r="B577" s="744" t="s">
        <v>16</v>
      </c>
      <c r="C577" s="409" t="s">
        <v>430</v>
      </c>
      <c r="D577" s="409" t="s">
        <v>456</v>
      </c>
      <c r="E577" s="409" t="s">
        <v>506</v>
      </c>
      <c r="F577" s="33" t="s">
        <v>789</v>
      </c>
      <c r="G577" s="532" t="s">
        <v>1</v>
      </c>
      <c r="H577" s="531"/>
      <c r="I577" s="529"/>
      <c r="J577" s="269"/>
      <c r="K577" s="830"/>
      <c r="L577" s="2"/>
      <c r="M577" s="2"/>
      <c r="N577" s="2075">
        <f>N578</f>
        <v>0</v>
      </c>
      <c r="O577" s="2082"/>
      <c r="P577" s="2082"/>
      <c r="Q577" s="2083">
        <f>Q578</f>
        <v>0</v>
      </c>
      <c r="R577" s="2084">
        <f>R578</f>
        <v>0</v>
      </c>
      <c r="S577" s="1"/>
      <c r="T577" s="1"/>
      <c r="U577" s="1"/>
      <c r="V577" s="2075">
        <f>V578</f>
        <v>0</v>
      </c>
      <c r="W577" s="2075">
        <f>W578</f>
        <v>0</v>
      </c>
      <c r="X577" s="1"/>
    </row>
    <row r="578" spans="1:26" ht="13" hidden="1" x14ac:dyDescent="0.3">
      <c r="A578" s="843"/>
      <c r="B578" s="534" t="s">
        <v>419</v>
      </c>
      <c r="C578" s="409" t="s">
        <v>430</v>
      </c>
      <c r="D578" s="409" t="s">
        <v>456</v>
      </c>
      <c r="E578" s="409" t="s">
        <v>506</v>
      </c>
      <c r="F578" s="33" t="s">
        <v>789</v>
      </c>
      <c r="G578" s="532" t="s">
        <v>1</v>
      </c>
      <c r="H578" s="9" t="s">
        <v>456</v>
      </c>
      <c r="I578" s="9" t="s">
        <v>506</v>
      </c>
      <c r="J578" s="269"/>
      <c r="K578" s="830"/>
      <c r="L578" s="2"/>
      <c r="M578" s="2"/>
      <c r="N578" s="2075">
        <v>0</v>
      </c>
      <c r="O578" s="2082"/>
      <c r="P578" s="2082"/>
      <c r="Q578" s="2083">
        <v>0</v>
      </c>
      <c r="R578" s="2084">
        <v>0</v>
      </c>
      <c r="S578" s="1"/>
      <c r="T578" s="1"/>
      <c r="U578" s="1"/>
      <c r="V578" s="2075">
        <v>0</v>
      </c>
      <c r="W578" s="2075">
        <v>0</v>
      </c>
      <c r="X578" s="1"/>
    </row>
    <row r="579" spans="1:26" s="83" customFormat="1" ht="13" x14ac:dyDescent="0.3">
      <c r="A579" s="85"/>
      <c r="B579" s="2085" t="s">
        <v>53</v>
      </c>
      <c r="C579" s="9"/>
      <c r="D579" s="9" t="s">
        <v>52</v>
      </c>
      <c r="E579" s="9" t="s">
        <v>49</v>
      </c>
      <c r="F579" s="34" t="s">
        <v>50</v>
      </c>
      <c r="G579" s="9"/>
      <c r="H579" s="9"/>
      <c r="I579" s="9"/>
      <c r="J579" s="1064">
        <f>J581</f>
        <v>3163.5070000000001</v>
      </c>
      <c r="K579" s="1065"/>
      <c r="L579" s="1065">
        <f t="shared" ref="L579:R579" si="271">L581</f>
        <v>0</v>
      </c>
      <c r="M579" s="1552">
        <f t="shared" si="271"/>
        <v>0</v>
      </c>
      <c r="N579" s="1982">
        <f>N581</f>
        <v>1304</v>
      </c>
      <c r="O579" s="1994">
        <f t="shared" si="271"/>
        <v>0</v>
      </c>
      <c r="P579" s="1939">
        <f t="shared" si="271"/>
        <v>0</v>
      </c>
      <c r="Q579" s="1995">
        <f t="shared" si="271"/>
        <v>504</v>
      </c>
      <c r="R579" s="1985">
        <f t="shared" si="271"/>
        <v>304</v>
      </c>
      <c r="S579" s="84"/>
      <c r="T579" s="84"/>
      <c r="U579" s="84"/>
      <c r="V579" s="1982">
        <f>V581</f>
        <v>1263.174</v>
      </c>
      <c r="W579" s="1982">
        <f>W581</f>
        <v>674.25199999999995</v>
      </c>
      <c r="X579" s="84"/>
      <c r="Z579" s="2141"/>
    </row>
    <row r="580" spans="1:26" s="83" customFormat="1" ht="26" x14ac:dyDescent="0.3">
      <c r="A580" s="85"/>
      <c r="B580" s="724" t="s">
        <v>948</v>
      </c>
      <c r="C580" s="9"/>
      <c r="D580" s="9"/>
      <c r="E580" s="9"/>
      <c r="F580" s="9" t="s">
        <v>50</v>
      </c>
      <c r="G580" s="9" t="s">
        <v>955</v>
      </c>
      <c r="H580" s="9"/>
      <c r="I580" s="9"/>
      <c r="J580" s="1064"/>
      <c r="K580" s="1065"/>
      <c r="L580" s="1065"/>
      <c r="M580" s="1552"/>
      <c r="N580" s="1986">
        <f>N581</f>
        <v>1304</v>
      </c>
      <c r="O580" s="1994"/>
      <c r="P580" s="1939"/>
      <c r="Q580" s="1995"/>
      <c r="R580" s="1985"/>
      <c r="S580" s="84"/>
      <c r="T580" s="84"/>
      <c r="U580" s="84"/>
      <c r="V580" s="1982">
        <f t="shared" ref="V580:W580" si="272">V581</f>
        <v>1263.174</v>
      </c>
      <c r="W580" s="1982">
        <f t="shared" si="272"/>
        <v>674.25199999999995</v>
      </c>
      <c r="X580" s="84"/>
      <c r="Z580" s="2141"/>
    </row>
    <row r="581" spans="1:26" s="83" customFormat="1" ht="13" x14ac:dyDescent="0.3">
      <c r="A581" s="85"/>
      <c r="B581" s="744" t="s">
        <v>16</v>
      </c>
      <c r="C581" s="9"/>
      <c r="D581" s="9" t="s">
        <v>52</v>
      </c>
      <c r="E581" s="9" t="s">
        <v>49</v>
      </c>
      <c r="F581" s="9" t="s">
        <v>50</v>
      </c>
      <c r="G581" s="9" t="s">
        <v>1</v>
      </c>
      <c r="H581" s="9"/>
      <c r="I581" s="9"/>
      <c r="J581" s="1061">
        <f>J582</f>
        <v>3163.5070000000001</v>
      </c>
      <c r="K581" s="1065"/>
      <c r="L581" s="1065"/>
      <c r="M581" s="1552"/>
      <c r="N581" s="1986">
        <f>N582</f>
        <v>1304</v>
      </c>
      <c r="O581" s="1947">
        <f>O582</f>
        <v>0</v>
      </c>
      <c r="P581" s="1941">
        <f>P582</f>
        <v>0</v>
      </c>
      <c r="Q581" s="1987">
        <f>Q582</f>
        <v>504</v>
      </c>
      <c r="R581" s="1988">
        <f>R582</f>
        <v>304</v>
      </c>
      <c r="S581" s="84"/>
      <c r="T581" s="84"/>
      <c r="U581" s="84"/>
      <c r="V581" s="1986">
        <f>V582</f>
        <v>1263.174</v>
      </c>
      <c r="W581" s="1986">
        <f>W582</f>
        <v>674.25199999999995</v>
      </c>
      <c r="X581" s="84"/>
      <c r="Z581" s="2141"/>
    </row>
    <row r="582" spans="1:26" s="83" customFormat="1" ht="13" x14ac:dyDescent="0.3">
      <c r="A582" s="85"/>
      <c r="B582" s="2003" t="s">
        <v>51</v>
      </c>
      <c r="C582" s="9"/>
      <c r="D582" s="9"/>
      <c r="E582" s="9"/>
      <c r="F582" s="9" t="s">
        <v>50</v>
      </c>
      <c r="G582" s="9" t="s">
        <v>1</v>
      </c>
      <c r="H582" s="9" t="s">
        <v>452</v>
      </c>
      <c r="I582" s="9" t="s">
        <v>534</v>
      </c>
      <c r="J582" s="1126">
        <v>3163.5070000000001</v>
      </c>
      <c r="K582" s="1065"/>
      <c r="L582" s="1065"/>
      <c r="M582" s="1552"/>
      <c r="N582" s="1986">
        <f>1604-300</f>
        <v>1304</v>
      </c>
      <c r="O582" s="1947"/>
      <c r="P582" s="1941"/>
      <c r="Q582" s="1987">
        <v>504</v>
      </c>
      <c r="R582" s="1988">
        <v>304</v>
      </c>
      <c r="S582" s="84"/>
      <c r="T582" s="84"/>
      <c r="U582" s="84"/>
      <c r="V582" s="1986">
        <f>2268.174-1000-5</f>
        <v>1263.174</v>
      </c>
      <c r="W582" s="1986">
        <v>674.25199999999995</v>
      </c>
      <c r="X582" s="84"/>
      <c r="Z582" s="2141"/>
    </row>
    <row r="583" spans="1:26" s="83" customFormat="1" ht="39" hidden="1" x14ac:dyDescent="0.3">
      <c r="A583" s="85"/>
      <c r="B583" s="52" t="s">
        <v>25</v>
      </c>
      <c r="C583" s="9"/>
      <c r="D583" s="34" t="s">
        <v>15</v>
      </c>
      <c r="E583" s="34" t="s">
        <v>13</v>
      </c>
      <c r="F583" s="34" t="s">
        <v>24</v>
      </c>
      <c r="G583" s="48"/>
      <c r="H583" s="48"/>
      <c r="I583" s="34"/>
      <c r="J583" s="131">
        <f>J584</f>
        <v>182.53199999999998</v>
      </c>
      <c r="K583" s="51"/>
      <c r="L583" s="51">
        <f t="shared" ref="L583:R583" si="273">L584</f>
        <v>85</v>
      </c>
      <c r="M583" s="1553">
        <f t="shared" si="273"/>
        <v>85</v>
      </c>
      <c r="N583" s="1982">
        <f t="shared" si="273"/>
        <v>0</v>
      </c>
      <c r="O583" s="1958">
        <f t="shared" si="273"/>
        <v>0</v>
      </c>
      <c r="P583" s="1944">
        <f t="shared" si="273"/>
        <v>0</v>
      </c>
      <c r="Q583" s="1996">
        <f t="shared" si="273"/>
        <v>0</v>
      </c>
      <c r="R583" s="1997">
        <f t="shared" si="273"/>
        <v>0</v>
      </c>
      <c r="S583" s="84"/>
      <c r="T583" s="84"/>
      <c r="U583" s="84"/>
      <c r="V583" s="1982">
        <f t="shared" ref="V583:W583" si="274">V584</f>
        <v>0</v>
      </c>
      <c r="W583" s="1982">
        <f t="shared" si="274"/>
        <v>0</v>
      </c>
      <c r="X583" s="84"/>
      <c r="Z583" s="2141"/>
    </row>
    <row r="584" spans="1:26" s="83" customFormat="1" ht="26" hidden="1" x14ac:dyDescent="0.3">
      <c r="A584" s="85"/>
      <c r="B584" s="49" t="s">
        <v>237</v>
      </c>
      <c r="C584" s="9"/>
      <c r="D584" s="9" t="s">
        <v>15</v>
      </c>
      <c r="E584" s="9" t="s">
        <v>13</v>
      </c>
      <c r="F584" s="34" t="s">
        <v>1006</v>
      </c>
      <c r="G584" s="48"/>
      <c r="H584" s="48"/>
      <c r="I584" s="9"/>
      <c r="J584" s="131">
        <f>J588</f>
        <v>182.53199999999998</v>
      </c>
      <c r="K584" s="51"/>
      <c r="L584" s="51">
        <f t="shared" ref="L584:R584" si="275">L588</f>
        <v>85</v>
      </c>
      <c r="M584" s="1553">
        <f t="shared" si="275"/>
        <v>85</v>
      </c>
      <c r="N584" s="1982">
        <f>N588</f>
        <v>0</v>
      </c>
      <c r="O584" s="1958">
        <f t="shared" si="275"/>
        <v>0</v>
      </c>
      <c r="P584" s="1944">
        <f t="shared" si="275"/>
        <v>0</v>
      </c>
      <c r="Q584" s="1996">
        <f t="shared" si="275"/>
        <v>0</v>
      </c>
      <c r="R584" s="1997">
        <f t="shared" si="275"/>
        <v>0</v>
      </c>
      <c r="S584" s="84"/>
      <c r="T584" s="84"/>
      <c r="U584" s="84"/>
      <c r="V584" s="1982">
        <f>V588</f>
        <v>0</v>
      </c>
      <c r="W584" s="1982">
        <f>W588</f>
        <v>0</v>
      </c>
      <c r="X584" s="84"/>
      <c r="Z584" s="2141"/>
    </row>
    <row r="585" spans="1:26" s="83" customFormat="1" ht="26.5" hidden="1" customHeight="1" x14ac:dyDescent="0.3">
      <c r="A585" s="85"/>
      <c r="B585" s="42"/>
      <c r="C585" s="31"/>
      <c r="D585" s="31"/>
      <c r="E585" s="31"/>
      <c r="F585" s="31"/>
      <c r="G585" s="2713"/>
      <c r="H585" s="2714"/>
      <c r="I585" s="2714"/>
      <c r="J585" s="2715"/>
      <c r="K585" s="45"/>
      <c r="L585" s="44"/>
      <c r="M585" s="44"/>
      <c r="N585" s="2086"/>
      <c r="O585" s="2087"/>
      <c r="P585" s="2087"/>
      <c r="Q585" s="2088"/>
      <c r="R585" s="2089"/>
      <c r="S585" s="84"/>
      <c r="T585" s="84"/>
      <c r="U585" s="84"/>
      <c r="V585" s="2086"/>
      <c r="W585" s="2086"/>
      <c r="X585" s="84"/>
      <c r="Z585" s="2141"/>
    </row>
    <row r="586" spans="1:26" ht="39.65" hidden="1" customHeight="1" x14ac:dyDescent="0.25">
      <c r="A586" s="32"/>
      <c r="B586" s="42"/>
      <c r="C586" s="31"/>
      <c r="D586" s="31"/>
      <c r="E586" s="31"/>
      <c r="F586" s="31"/>
      <c r="G586" s="2713"/>
      <c r="H586" s="2714"/>
      <c r="I586" s="2714"/>
      <c r="J586" s="2715"/>
      <c r="K586" s="41"/>
      <c r="L586" s="2"/>
      <c r="M586" s="2"/>
      <c r="N586" s="2090"/>
      <c r="O586" s="2082"/>
      <c r="P586" s="2082"/>
      <c r="Q586" s="2091"/>
      <c r="R586" s="2092"/>
      <c r="V586" s="2090"/>
      <c r="W586" s="2090"/>
    </row>
    <row r="587" spans="1:26" ht="39.65" hidden="1" customHeight="1" x14ac:dyDescent="0.25">
      <c r="A587" s="32"/>
      <c r="B587" s="2155"/>
      <c r="C587" s="31"/>
      <c r="D587" s="31"/>
      <c r="E587" s="31"/>
      <c r="F587" s="9" t="s">
        <v>1006</v>
      </c>
      <c r="G587" s="2154" t="s">
        <v>1064</v>
      </c>
      <c r="H587" s="2344"/>
      <c r="I587" s="2344"/>
      <c r="J587" s="2345"/>
      <c r="K587" s="41"/>
      <c r="L587" s="2"/>
      <c r="M587" s="2"/>
      <c r="N587" s="2090"/>
      <c r="O587" s="2082"/>
      <c r="P587" s="2082"/>
      <c r="Q587" s="2091"/>
      <c r="R587" s="2092"/>
      <c r="V587" s="2090"/>
      <c r="W587" s="2090"/>
    </row>
    <row r="588" spans="1:26" ht="13" hidden="1" x14ac:dyDescent="0.3">
      <c r="A588" s="32"/>
      <c r="B588" s="2003" t="s">
        <v>94</v>
      </c>
      <c r="C588" s="31"/>
      <c r="D588" s="9" t="s">
        <v>15</v>
      </c>
      <c r="E588" s="9" t="s">
        <v>13</v>
      </c>
      <c r="F588" s="9" t="s">
        <v>1006</v>
      </c>
      <c r="G588" s="33" t="s">
        <v>91</v>
      </c>
      <c r="H588" s="33"/>
      <c r="I588" s="9"/>
      <c r="J588" s="515">
        <f>J589</f>
        <v>182.53199999999998</v>
      </c>
      <c r="K588" s="30"/>
      <c r="L588" s="29">
        <v>85</v>
      </c>
      <c r="M588" s="1569">
        <v>85</v>
      </c>
      <c r="N588" s="1998">
        <f>N589</f>
        <v>0</v>
      </c>
      <c r="O588" s="1961">
        <f>O589</f>
        <v>0</v>
      </c>
      <c r="P588" s="1961">
        <f>P589</f>
        <v>0</v>
      </c>
      <c r="Q588" s="2093">
        <f>Q589</f>
        <v>0</v>
      </c>
      <c r="R588" s="2094">
        <f>R589</f>
        <v>0</v>
      </c>
      <c r="V588" s="1998">
        <f>V589</f>
        <v>0</v>
      </c>
      <c r="W588" s="1998">
        <f>W589</f>
        <v>0</v>
      </c>
    </row>
    <row r="589" spans="1:26" ht="28.5" hidden="1" customHeight="1" x14ac:dyDescent="0.3">
      <c r="A589" s="32"/>
      <c r="B589" s="2012" t="s">
        <v>570</v>
      </c>
      <c r="C589" s="31"/>
      <c r="D589" s="9"/>
      <c r="E589" s="9"/>
      <c r="F589" s="9" t="s">
        <v>48</v>
      </c>
      <c r="G589" s="33" t="s">
        <v>91</v>
      </c>
      <c r="H589" s="33" t="s">
        <v>495</v>
      </c>
      <c r="I589" s="9" t="s">
        <v>539</v>
      </c>
      <c r="J589" s="515">
        <f>85+97.532</f>
        <v>182.53199999999998</v>
      </c>
      <c r="K589" s="30"/>
      <c r="L589" s="29">
        <v>85</v>
      </c>
      <c r="M589" s="1569">
        <v>85</v>
      </c>
      <c r="N589" s="2240"/>
      <c r="O589" s="1961"/>
      <c r="P589" s="1961"/>
      <c r="Q589" s="2093"/>
      <c r="R589" s="2094"/>
      <c r="V589" s="1998"/>
      <c r="W589" s="1998"/>
    </row>
    <row r="590" spans="1:26" ht="37.5" customHeight="1" x14ac:dyDescent="0.25">
      <c r="A590" s="32"/>
      <c r="B590" s="533" t="s">
        <v>788</v>
      </c>
      <c r="C590" s="9"/>
      <c r="D590" s="9"/>
      <c r="E590" s="9"/>
      <c r="F590" s="89" t="s">
        <v>1106</v>
      </c>
      <c r="G590" s="9"/>
      <c r="H590" s="9"/>
      <c r="I590" s="535"/>
      <c r="J590" s="1125"/>
      <c r="K590" s="1122"/>
      <c r="L590" s="1122"/>
      <c r="M590" s="1122"/>
      <c r="N590" s="2243">
        <f>N592</f>
        <v>415.5</v>
      </c>
      <c r="O590" s="2157"/>
      <c r="P590" s="2157"/>
      <c r="Q590" s="2158"/>
      <c r="R590" s="2159"/>
      <c r="S590" s="2160"/>
      <c r="T590" s="2160"/>
      <c r="U590" s="2160"/>
      <c r="V590" s="2161">
        <f>V592</f>
        <v>0</v>
      </c>
      <c r="W590" s="2161">
        <f>W592</f>
        <v>0</v>
      </c>
    </row>
    <row r="591" spans="1:26" ht="27" customHeight="1" x14ac:dyDescent="0.25">
      <c r="A591" s="32"/>
      <c r="B591" s="724" t="s">
        <v>948</v>
      </c>
      <c r="C591" s="9"/>
      <c r="D591" s="9"/>
      <c r="E591" s="9"/>
      <c r="F591" s="33" t="s">
        <v>1106</v>
      </c>
      <c r="G591" s="9" t="s">
        <v>955</v>
      </c>
      <c r="H591" s="9"/>
      <c r="I591" s="535"/>
      <c r="J591" s="1125"/>
      <c r="K591" s="1122"/>
      <c r="L591" s="1122"/>
      <c r="M591" s="1122"/>
      <c r="N591" s="2167">
        <f>N592</f>
        <v>415.5</v>
      </c>
      <c r="O591" s="2157"/>
      <c r="P591" s="2157"/>
      <c r="Q591" s="2158"/>
      <c r="R591" s="2159"/>
      <c r="S591" s="2160"/>
      <c r="T591" s="2160"/>
      <c r="U591" s="2160"/>
      <c r="V591" s="2163">
        <f>V592</f>
        <v>0</v>
      </c>
      <c r="W591" s="2163">
        <f>W592</f>
        <v>0</v>
      </c>
    </row>
    <row r="592" spans="1:26" ht="28.5" customHeight="1" x14ac:dyDescent="0.3">
      <c r="A592" s="32"/>
      <c r="B592" s="16" t="s">
        <v>16</v>
      </c>
      <c r="C592" s="409" t="s">
        <v>430</v>
      </c>
      <c r="D592" s="409" t="s">
        <v>456</v>
      </c>
      <c r="E592" s="409" t="s">
        <v>506</v>
      </c>
      <c r="F592" s="33" t="s">
        <v>1106</v>
      </c>
      <c r="G592" s="532" t="s">
        <v>1</v>
      </c>
      <c r="H592" s="531"/>
      <c r="I592" s="529"/>
      <c r="J592" s="269"/>
      <c r="K592" s="830"/>
      <c r="L592" s="2"/>
      <c r="M592" s="2"/>
      <c r="N592" s="2242">
        <f>N593</f>
        <v>415.5</v>
      </c>
      <c r="O592" s="2157"/>
      <c r="P592" s="2157"/>
      <c r="Q592" s="2158"/>
      <c r="R592" s="2159"/>
      <c r="S592" s="2160"/>
      <c r="T592" s="2160"/>
      <c r="U592" s="2160"/>
      <c r="V592" s="2162">
        <f>V593</f>
        <v>0</v>
      </c>
      <c r="W592" s="2162">
        <f>W593</f>
        <v>0</v>
      </c>
    </row>
    <row r="593" spans="1:23" ht="28.5" customHeight="1" x14ac:dyDescent="0.3">
      <c r="A593" s="32"/>
      <c r="B593" s="534" t="s">
        <v>419</v>
      </c>
      <c r="C593" s="409" t="s">
        <v>430</v>
      </c>
      <c r="D593" s="409" t="s">
        <v>456</v>
      </c>
      <c r="E593" s="409" t="s">
        <v>506</v>
      </c>
      <c r="F593" s="33" t="s">
        <v>1106</v>
      </c>
      <c r="G593" s="532" t="s">
        <v>1</v>
      </c>
      <c r="H593" s="9" t="s">
        <v>456</v>
      </c>
      <c r="I593" s="9" t="s">
        <v>506</v>
      </c>
      <c r="J593" s="269"/>
      <c r="K593" s="830"/>
      <c r="L593" s="2"/>
      <c r="M593" s="2"/>
      <c r="N593" s="2242">
        <v>415.5</v>
      </c>
      <c r="O593" s="2157"/>
      <c r="P593" s="2157"/>
      <c r="Q593" s="2158"/>
      <c r="R593" s="2159"/>
      <c r="S593" s="2160"/>
      <c r="T593" s="2160"/>
      <c r="U593" s="2160"/>
      <c r="V593" s="2162">
        <v>0</v>
      </c>
      <c r="W593" s="2162">
        <v>0</v>
      </c>
    </row>
    <row r="594" spans="1:23" ht="39" x14ac:dyDescent="0.3">
      <c r="A594" s="32"/>
      <c r="B594" s="90" t="s">
        <v>184</v>
      </c>
      <c r="C594" s="2345"/>
      <c r="D594" s="9"/>
      <c r="E594" s="9"/>
      <c r="F594" s="79" t="s">
        <v>33</v>
      </c>
      <c r="G594" s="33"/>
      <c r="H594" s="33"/>
      <c r="I594" s="9"/>
      <c r="J594" s="515"/>
      <c r="K594" s="30"/>
      <c r="L594" s="29"/>
      <c r="M594" s="1569"/>
      <c r="N594" s="2241">
        <f>N599+N597</f>
        <v>5480</v>
      </c>
      <c r="O594" s="1961"/>
      <c r="P594" s="1961"/>
      <c r="Q594" s="2093"/>
      <c r="R594" s="2094"/>
      <c r="V594" s="1998">
        <f>V599+V597</f>
        <v>9560</v>
      </c>
      <c r="W594" s="1998">
        <f>W599+W597</f>
        <v>8643.2000000000007</v>
      </c>
    </row>
    <row r="595" spans="1:23" ht="26" x14ac:dyDescent="0.3">
      <c r="A595" s="32"/>
      <c r="B595" s="724" t="s">
        <v>948</v>
      </c>
      <c r="C595" s="2345"/>
      <c r="D595" s="9"/>
      <c r="E595" s="9"/>
      <c r="F595" s="77" t="s">
        <v>33</v>
      </c>
      <c r="G595" s="33" t="s">
        <v>955</v>
      </c>
      <c r="H595" s="33"/>
      <c r="I595" s="9"/>
      <c r="J595" s="515"/>
      <c r="K595" s="30"/>
      <c r="L595" s="29"/>
      <c r="M595" s="1569"/>
      <c r="N595" s="2332">
        <f>N596</f>
        <v>0</v>
      </c>
      <c r="O595" s="2333"/>
      <c r="P595" s="2333"/>
      <c r="Q595" s="2334"/>
      <c r="R595" s="2335"/>
      <c r="S595" s="2336"/>
      <c r="T595" s="2336"/>
      <c r="U595" s="2336"/>
      <c r="V595" s="2337">
        <f>V596</f>
        <v>4000</v>
      </c>
      <c r="W595" s="2337">
        <f>W596</f>
        <v>4000</v>
      </c>
    </row>
    <row r="596" spans="1:23" ht="13" x14ac:dyDescent="0.3">
      <c r="A596" s="32"/>
      <c r="B596" s="16" t="s">
        <v>16</v>
      </c>
      <c r="C596" s="2345"/>
      <c r="D596" s="9"/>
      <c r="E596" s="9"/>
      <c r="F596" s="77" t="s">
        <v>33</v>
      </c>
      <c r="G596" s="33" t="s">
        <v>1</v>
      </c>
      <c r="H596" s="33"/>
      <c r="I596" s="9"/>
      <c r="J596" s="515"/>
      <c r="K596" s="30"/>
      <c r="L596" s="29"/>
      <c r="M596" s="1569"/>
      <c r="N596" s="2332">
        <f>N597</f>
        <v>0</v>
      </c>
      <c r="O596" s="2333"/>
      <c r="P596" s="2333"/>
      <c r="Q596" s="2334"/>
      <c r="R596" s="2335"/>
      <c r="S596" s="2336"/>
      <c r="T596" s="2336"/>
      <c r="U596" s="2336"/>
      <c r="V596" s="2337">
        <f>V597</f>
        <v>4000</v>
      </c>
      <c r="W596" s="2337">
        <f>W597</f>
        <v>4000</v>
      </c>
    </row>
    <row r="597" spans="1:23" ht="13" x14ac:dyDescent="0.3">
      <c r="A597" s="32"/>
      <c r="B597" s="90" t="s">
        <v>34</v>
      </c>
      <c r="C597" s="2345"/>
      <c r="D597" s="9"/>
      <c r="E597" s="9"/>
      <c r="F597" s="77" t="s">
        <v>33</v>
      </c>
      <c r="G597" s="33" t="s">
        <v>1</v>
      </c>
      <c r="H597" s="33" t="s">
        <v>463</v>
      </c>
      <c r="I597" s="9" t="s">
        <v>495</v>
      </c>
      <c r="J597" s="515"/>
      <c r="K597" s="30"/>
      <c r="L597" s="29"/>
      <c r="M597" s="1569"/>
      <c r="N597" s="2332">
        <v>0</v>
      </c>
      <c r="O597" s="2333"/>
      <c r="P597" s="2333"/>
      <c r="Q597" s="2334"/>
      <c r="R597" s="2335"/>
      <c r="S597" s="2336"/>
      <c r="T597" s="2336"/>
      <c r="U597" s="2336"/>
      <c r="V597" s="2337">
        <v>4000</v>
      </c>
      <c r="W597" s="2337">
        <v>4000</v>
      </c>
    </row>
    <row r="598" spans="1:23" ht="28" customHeight="1" x14ac:dyDescent="0.3">
      <c r="A598" s="32"/>
      <c r="B598" s="2176" t="s">
        <v>1068</v>
      </c>
      <c r="C598" s="2345"/>
      <c r="D598" s="9" t="s">
        <v>1065</v>
      </c>
      <c r="E598" s="9"/>
      <c r="F598" s="77" t="s">
        <v>33</v>
      </c>
      <c r="G598" s="33" t="s">
        <v>1064</v>
      </c>
      <c r="H598" s="33"/>
      <c r="I598" s="9"/>
      <c r="J598" s="515"/>
      <c r="K598" s="30"/>
      <c r="L598" s="29"/>
      <c r="M598" s="1569"/>
      <c r="N598" s="1998">
        <f>N599</f>
        <v>5480</v>
      </c>
      <c r="O598" s="1961"/>
      <c r="P598" s="1961"/>
      <c r="Q598" s="2093"/>
      <c r="R598" s="2094"/>
      <c r="V598" s="1998">
        <f t="shared" ref="V598:W598" si="276">V599</f>
        <v>5560</v>
      </c>
      <c r="W598" s="1998">
        <f t="shared" si="276"/>
        <v>4643.2</v>
      </c>
    </row>
    <row r="599" spans="1:23" ht="39" x14ac:dyDescent="0.3">
      <c r="A599" s="32"/>
      <c r="B599" s="2095" t="s">
        <v>1034</v>
      </c>
      <c r="C599" s="2345"/>
      <c r="D599" s="9"/>
      <c r="E599" s="9"/>
      <c r="F599" s="77" t="s">
        <v>33</v>
      </c>
      <c r="G599" s="33" t="s">
        <v>521</v>
      </c>
      <c r="H599" s="33"/>
      <c r="I599" s="9"/>
      <c r="J599" s="515"/>
      <c r="K599" s="30"/>
      <c r="L599" s="29"/>
      <c r="M599" s="1569"/>
      <c r="N599" s="1998">
        <f>N600</f>
        <v>5480</v>
      </c>
      <c r="O599" s="1961"/>
      <c r="P599" s="1961"/>
      <c r="Q599" s="2093"/>
      <c r="R599" s="2094"/>
      <c r="V599" s="1998">
        <f>V600</f>
        <v>5560</v>
      </c>
      <c r="W599" s="1998">
        <f>W600</f>
        <v>4643.2</v>
      </c>
    </row>
    <row r="600" spans="1:23" ht="13" x14ac:dyDescent="0.3">
      <c r="A600" s="32"/>
      <c r="B600" s="90" t="s">
        <v>34</v>
      </c>
      <c r="C600" s="2345"/>
      <c r="D600" s="9"/>
      <c r="E600" s="9"/>
      <c r="F600" s="77" t="s">
        <v>33</v>
      </c>
      <c r="G600" s="33" t="s">
        <v>521</v>
      </c>
      <c r="H600" s="33" t="s">
        <v>463</v>
      </c>
      <c r="I600" s="9" t="s">
        <v>495</v>
      </c>
      <c r="J600" s="515"/>
      <c r="K600" s="30"/>
      <c r="L600" s="29"/>
      <c r="M600" s="1569"/>
      <c r="N600" s="1998">
        <v>5480</v>
      </c>
      <c r="O600" s="1961"/>
      <c r="P600" s="1961"/>
      <c r="Q600" s="2093"/>
      <c r="R600" s="2094"/>
      <c r="V600" s="1998">
        <v>5560</v>
      </c>
      <c r="W600" s="1998">
        <f>5643.2-1000</f>
        <v>4643.2</v>
      </c>
    </row>
    <row r="601" spans="1:23" ht="24" customHeight="1" x14ac:dyDescent="0.3">
      <c r="A601" s="32"/>
      <c r="B601" s="534" t="s">
        <v>918</v>
      </c>
      <c r="C601" s="2345"/>
      <c r="D601" s="9"/>
      <c r="E601" s="9"/>
      <c r="F601" s="79" t="s">
        <v>919</v>
      </c>
      <c r="G601" s="33"/>
      <c r="H601" s="33"/>
      <c r="I601" s="9"/>
      <c r="J601" s="515">
        <f>J605</f>
        <v>153.32</v>
      </c>
      <c r="K601" s="30"/>
      <c r="L601" s="29"/>
      <c r="M601" s="1569"/>
      <c r="N601" s="1989">
        <f>N603</f>
        <v>800</v>
      </c>
      <c r="O601" s="2096">
        <f>O605+O603</f>
        <v>585.81999999999994</v>
      </c>
      <c r="P601" s="2096">
        <f>P605+P603</f>
        <v>610.88699999999994</v>
      </c>
      <c r="Q601" s="2097">
        <f>Q605+Q603</f>
        <v>1200</v>
      </c>
      <c r="R601" s="2098">
        <f>R605+R603</f>
        <v>1200</v>
      </c>
      <c r="V601" s="1989">
        <f>V603</f>
        <v>850</v>
      </c>
      <c r="W601" s="1989">
        <f>W603</f>
        <v>900</v>
      </c>
    </row>
    <row r="602" spans="1:23" ht="24" customHeight="1" x14ac:dyDescent="0.3">
      <c r="A602" s="32"/>
      <c r="B602" s="724" t="s">
        <v>948</v>
      </c>
      <c r="C602" s="2345"/>
      <c r="D602" s="9"/>
      <c r="E602" s="9"/>
      <c r="F602" s="77" t="s">
        <v>919</v>
      </c>
      <c r="G602" s="33" t="s">
        <v>955</v>
      </c>
      <c r="H602" s="33"/>
      <c r="I602" s="9"/>
      <c r="J602" s="515"/>
      <c r="K602" s="30"/>
      <c r="L602" s="29"/>
      <c r="M602" s="1569"/>
      <c r="N602" s="1998">
        <f>N603</f>
        <v>800</v>
      </c>
      <c r="O602" s="2096"/>
      <c r="P602" s="2096"/>
      <c r="Q602" s="2097"/>
      <c r="R602" s="2098"/>
      <c r="V602" s="1998">
        <f t="shared" ref="V602:W602" si="277">V603</f>
        <v>850</v>
      </c>
      <c r="W602" s="1998">
        <f t="shared" si="277"/>
        <v>900</v>
      </c>
    </row>
    <row r="603" spans="1:23" ht="13" x14ac:dyDescent="0.3">
      <c r="A603" s="32"/>
      <c r="B603" s="724" t="s">
        <v>16</v>
      </c>
      <c r="C603" s="2345"/>
      <c r="D603" s="9"/>
      <c r="E603" s="9"/>
      <c r="F603" s="77" t="s">
        <v>919</v>
      </c>
      <c r="G603" s="33" t="s">
        <v>1</v>
      </c>
      <c r="H603" s="33"/>
      <c r="I603" s="9"/>
      <c r="J603" s="515"/>
      <c r="K603" s="30"/>
      <c r="L603" s="29"/>
      <c r="M603" s="1569"/>
      <c r="N603" s="1998">
        <f>N604</f>
        <v>800</v>
      </c>
      <c r="O603" s="1961">
        <f>O604</f>
        <v>31.3</v>
      </c>
      <c r="P603" s="1961">
        <f>P604</f>
        <v>34.43</v>
      </c>
      <c r="Q603" s="2093">
        <f>Q604</f>
        <v>1200</v>
      </c>
      <c r="R603" s="2094">
        <f>R604</f>
        <v>1200</v>
      </c>
      <c r="V603" s="1998">
        <f>V604</f>
        <v>850</v>
      </c>
      <c r="W603" s="1998">
        <f>W604</f>
        <v>900</v>
      </c>
    </row>
    <row r="604" spans="1:23" ht="13" x14ac:dyDescent="0.3">
      <c r="A604" s="32"/>
      <c r="B604" s="724" t="s">
        <v>920</v>
      </c>
      <c r="C604" s="2345"/>
      <c r="D604" s="9"/>
      <c r="E604" s="9"/>
      <c r="F604" s="77" t="s">
        <v>919</v>
      </c>
      <c r="G604" s="33" t="s">
        <v>1</v>
      </c>
      <c r="H604" s="33" t="s">
        <v>534</v>
      </c>
      <c r="I604" s="9" t="s">
        <v>488</v>
      </c>
      <c r="J604" s="515"/>
      <c r="K604" s="30"/>
      <c r="L604" s="29"/>
      <c r="M604" s="1569"/>
      <c r="N604" s="1998">
        <v>800</v>
      </c>
      <c r="O604" s="1961">
        <v>31.3</v>
      </c>
      <c r="P604" s="1961">
        <v>34.43</v>
      </c>
      <c r="Q604" s="2093">
        <v>1200</v>
      </c>
      <c r="R604" s="2094">
        <v>1200</v>
      </c>
      <c r="V604" s="1998">
        <v>850</v>
      </c>
      <c r="W604" s="1998">
        <v>900</v>
      </c>
    </row>
    <row r="605" spans="1:23" ht="13" hidden="1" x14ac:dyDescent="0.25">
      <c r="A605" s="32"/>
      <c r="B605" s="724" t="s">
        <v>109</v>
      </c>
      <c r="C605" s="70"/>
      <c r="D605" s="9" t="s">
        <v>44</v>
      </c>
      <c r="E605" s="9" t="s">
        <v>41</v>
      </c>
      <c r="F605" s="77" t="s">
        <v>919</v>
      </c>
      <c r="G605" s="33" t="s">
        <v>1</v>
      </c>
      <c r="H605" s="33"/>
      <c r="I605" s="9"/>
      <c r="J605" s="1126">
        <f t="shared" ref="J605:R605" si="278">J606</f>
        <v>153.32</v>
      </c>
      <c r="K605" s="1063">
        <f t="shared" si="278"/>
        <v>172</v>
      </c>
      <c r="L605" s="1063">
        <f t="shared" si="278"/>
        <v>172</v>
      </c>
      <c r="M605" s="1125">
        <f t="shared" si="278"/>
        <v>172</v>
      </c>
      <c r="N605" s="1986">
        <f t="shared" si="278"/>
        <v>0</v>
      </c>
      <c r="O605" s="1947">
        <f t="shared" si="278"/>
        <v>554.52</v>
      </c>
      <c r="P605" s="1941">
        <f t="shared" si="278"/>
        <v>576.45699999999999</v>
      </c>
      <c r="Q605" s="1987">
        <f t="shared" si="278"/>
        <v>0</v>
      </c>
      <c r="R605" s="1988">
        <f t="shared" si="278"/>
        <v>0</v>
      </c>
      <c r="V605" s="1986">
        <f t="shared" ref="V605:W605" si="279">V606</f>
        <v>0</v>
      </c>
      <c r="W605" s="1986">
        <f t="shared" si="279"/>
        <v>0</v>
      </c>
    </row>
    <row r="606" spans="1:23" ht="39" hidden="1" x14ac:dyDescent="0.25">
      <c r="A606" s="32"/>
      <c r="B606" s="90" t="s">
        <v>918</v>
      </c>
      <c r="C606" s="70"/>
      <c r="D606" s="9" t="s">
        <v>44</v>
      </c>
      <c r="E606" s="9" t="s">
        <v>41</v>
      </c>
      <c r="F606" s="77" t="s">
        <v>43</v>
      </c>
      <c r="G606" s="33" t="s">
        <v>42</v>
      </c>
      <c r="H606" s="33" t="s">
        <v>496</v>
      </c>
      <c r="I606" s="9" t="s">
        <v>495</v>
      </c>
      <c r="J606" s="1126">
        <v>153.32</v>
      </c>
      <c r="K606" s="1063">
        <v>172</v>
      </c>
      <c r="L606" s="1063">
        <v>172</v>
      </c>
      <c r="M606" s="1125">
        <v>172</v>
      </c>
      <c r="N606" s="1986"/>
      <c r="O606" s="1947">
        <v>554.52</v>
      </c>
      <c r="P606" s="1941">
        <v>576.45699999999999</v>
      </c>
      <c r="Q606" s="1987"/>
      <c r="R606" s="1988"/>
      <c r="V606" s="1986"/>
      <c r="W606" s="1986"/>
    </row>
    <row r="607" spans="1:23" ht="25" hidden="1" x14ac:dyDescent="0.25">
      <c r="A607" s="32"/>
      <c r="B607" s="1127" t="s">
        <v>921</v>
      </c>
      <c r="C607" s="70"/>
      <c r="D607" s="9"/>
      <c r="E607" s="9"/>
      <c r="F607" s="79" t="s">
        <v>38</v>
      </c>
      <c r="G607" s="33"/>
      <c r="H607" s="33"/>
      <c r="I607" s="9"/>
      <c r="J607" s="1126">
        <f>J608</f>
        <v>0</v>
      </c>
      <c r="K607" s="1128"/>
      <c r="L607" s="1129"/>
      <c r="M607" s="1128"/>
      <c r="N607" s="1982">
        <f t="shared" ref="N607:R608" si="280">N608</f>
        <v>0</v>
      </c>
      <c r="O607" s="1994">
        <f t="shared" si="280"/>
        <v>0</v>
      </c>
      <c r="P607" s="1939">
        <f t="shared" si="280"/>
        <v>0</v>
      </c>
      <c r="Q607" s="1995">
        <f t="shared" si="280"/>
        <v>0</v>
      </c>
      <c r="R607" s="1985">
        <f t="shared" si="280"/>
        <v>0</v>
      </c>
      <c r="V607" s="1982">
        <f t="shared" ref="V607:W608" si="281">V608</f>
        <v>0</v>
      </c>
      <c r="W607" s="1982">
        <f t="shared" si="281"/>
        <v>0</v>
      </c>
    </row>
    <row r="608" spans="1:23" ht="25.5" hidden="1" thickBot="1" x14ac:dyDescent="0.3">
      <c r="A608" s="32"/>
      <c r="B608" s="1130" t="s">
        <v>454</v>
      </c>
      <c r="C608" s="70"/>
      <c r="D608" s="9"/>
      <c r="E608" s="9"/>
      <c r="F608" s="77" t="s">
        <v>38</v>
      </c>
      <c r="G608" s="33" t="s">
        <v>26</v>
      </c>
      <c r="H608" s="33"/>
      <c r="I608" s="9"/>
      <c r="J608" s="1126">
        <f>J609</f>
        <v>0</v>
      </c>
      <c r="K608" s="1128"/>
      <c r="L608" s="1129"/>
      <c r="M608" s="1128"/>
      <c r="N608" s="1986">
        <f t="shared" si="280"/>
        <v>0</v>
      </c>
      <c r="O608" s="1947">
        <f t="shared" si="280"/>
        <v>0</v>
      </c>
      <c r="P608" s="1941">
        <f t="shared" si="280"/>
        <v>0</v>
      </c>
      <c r="Q608" s="1987">
        <f t="shared" si="280"/>
        <v>0</v>
      </c>
      <c r="R608" s="1988">
        <f t="shared" si="280"/>
        <v>0</v>
      </c>
      <c r="V608" s="1986">
        <f t="shared" si="281"/>
        <v>0</v>
      </c>
      <c r="W608" s="1986">
        <f t="shared" si="281"/>
        <v>0</v>
      </c>
    </row>
    <row r="609" spans="1:256" ht="13" hidden="1" x14ac:dyDescent="0.3">
      <c r="A609" s="32"/>
      <c r="B609" s="744" t="s">
        <v>39</v>
      </c>
      <c r="C609" s="70"/>
      <c r="D609" s="9"/>
      <c r="E609" s="9"/>
      <c r="F609" s="77" t="s">
        <v>38</v>
      </c>
      <c r="G609" s="33" t="s">
        <v>26</v>
      </c>
      <c r="H609" s="33" t="s">
        <v>463</v>
      </c>
      <c r="I609" s="9" t="s">
        <v>488</v>
      </c>
      <c r="J609" s="1126"/>
      <c r="K609" s="1128"/>
      <c r="L609" s="1129"/>
      <c r="M609" s="1128"/>
      <c r="N609" s="1986"/>
      <c r="O609" s="1947"/>
      <c r="P609" s="1941"/>
      <c r="Q609" s="1987"/>
      <c r="R609" s="1988"/>
      <c r="V609" s="1986"/>
      <c r="W609" s="1986"/>
    </row>
    <row r="610" spans="1:256" ht="26" hidden="1" x14ac:dyDescent="0.25">
      <c r="A610" s="32"/>
      <c r="B610" s="76" t="s">
        <v>37</v>
      </c>
      <c r="C610" s="70"/>
      <c r="D610" s="9"/>
      <c r="E610" s="9"/>
      <c r="F610" s="34" t="s">
        <v>36</v>
      </c>
      <c r="G610" s="33"/>
      <c r="H610" s="33"/>
      <c r="I610" s="9"/>
      <c r="J610" s="1131">
        <f>J611</f>
        <v>17908.526000000002</v>
      </c>
      <c r="K610" s="1128"/>
      <c r="L610" s="1129"/>
      <c r="M610" s="1128"/>
      <c r="N610" s="1986">
        <f t="shared" ref="N610:R611" si="282">N611</f>
        <v>0</v>
      </c>
      <c r="O610" s="1964">
        <f t="shared" si="282"/>
        <v>0</v>
      </c>
      <c r="P610" s="1963">
        <f t="shared" si="282"/>
        <v>0</v>
      </c>
      <c r="Q610" s="1987">
        <f t="shared" si="282"/>
        <v>0</v>
      </c>
      <c r="R610" s="1988">
        <f t="shared" si="282"/>
        <v>0</v>
      </c>
      <c r="V610" s="1986">
        <f t="shared" ref="V610:W611" si="283">V611</f>
        <v>0</v>
      </c>
      <c r="W610" s="1986">
        <f t="shared" si="283"/>
        <v>0</v>
      </c>
    </row>
    <row r="611" spans="1:256" ht="26" hidden="1" x14ac:dyDescent="0.25">
      <c r="A611" s="32"/>
      <c r="B611" s="1993" t="s">
        <v>4</v>
      </c>
      <c r="C611" s="70"/>
      <c r="D611" s="9"/>
      <c r="E611" s="9"/>
      <c r="F611" s="9" t="s">
        <v>36</v>
      </c>
      <c r="G611" s="33" t="s">
        <v>1</v>
      </c>
      <c r="H611" s="33"/>
      <c r="I611" s="9"/>
      <c r="J611" s="1131">
        <f>J612</f>
        <v>17908.526000000002</v>
      </c>
      <c r="K611" s="1128"/>
      <c r="L611" s="1129"/>
      <c r="M611" s="1128"/>
      <c r="N611" s="1986">
        <f t="shared" si="282"/>
        <v>0</v>
      </c>
      <c r="O611" s="1964">
        <f t="shared" si="282"/>
        <v>0</v>
      </c>
      <c r="P611" s="1963">
        <f t="shared" si="282"/>
        <v>0</v>
      </c>
      <c r="Q611" s="1987">
        <f t="shared" si="282"/>
        <v>0</v>
      </c>
      <c r="R611" s="1988">
        <f t="shared" si="282"/>
        <v>0</v>
      </c>
      <c r="S611" s="75"/>
      <c r="T611" s="75"/>
      <c r="U611" s="1124"/>
      <c r="V611" s="1986">
        <f t="shared" si="283"/>
        <v>0</v>
      </c>
      <c r="W611" s="1986">
        <f t="shared" si="283"/>
        <v>0</v>
      </c>
      <c r="X611" s="72"/>
      <c r="AC611" s="1074">
        <f>AC612</f>
        <v>672.10500000000002</v>
      </c>
    </row>
    <row r="612" spans="1:256" ht="13" hidden="1" x14ac:dyDescent="0.25">
      <c r="A612" s="32"/>
      <c r="B612" s="49" t="s">
        <v>34</v>
      </c>
      <c r="C612" s="70"/>
      <c r="D612" s="9"/>
      <c r="E612" s="9"/>
      <c r="F612" s="9" t="s">
        <v>36</v>
      </c>
      <c r="G612" s="33" t="s">
        <v>1</v>
      </c>
      <c r="H612" s="33"/>
      <c r="I612" s="9" t="s">
        <v>32</v>
      </c>
      <c r="J612" s="1131">
        <v>17908.526000000002</v>
      </c>
      <c r="K612" s="1128"/>
      <c r="L612" s="1129"/>
      <c r="M612" s="1128"/>
      <c r="N612" s="1986"/>
      <c r="O612" s="1964"/>
      <c r="P612" s="1963"/>
      <c r="Q612" s="1987"/>
      <c r="R612" s="1988"/>
      <c r="S612" s="75"/>
      <c r="T612" s="75"/>
      <c r="U612" s="1124"/>
      <c r="V612" s="1986"/>
      <c r="W612" s="1986"/>
      <c r="X612" s="72"/>
      <c r="AC612" s="1074">
        <v>672.10500000000002</v>
      </c>
    </row>
    <row r="613" spans="1:256" ht="39" hidden="1" x14ac:dyDescent="0.25">
      <c r="A613" s="32"/>
      <c r="B613" s="1993" t="s">
        <v>35</v>
      </c>
      <c r="C613" s="70"/>
      <c r="D613" s="9"/>
      <c r="E613" s="9"/>
      <c r="F613" s="34" t="s">
        <v>33</v>
      </c>
      <c r="G613" s="33"/>
      <c r="H613" s="33"/>
      <c r="I613" s="9"/>
      <c r="J613" s="1131">
        <f>J614</f>
        <v>7028.6390000000001</v>
      </c>
      <c r="K613" s="1128"/>
      <c r="L613" s="1129"/>
      <c r="M613" s="1128"/>
      <c r="N613" s="1986">
        <f t="shared" ref="N613:R614" si="284">N614</f>
        <v>0</v>
      </c>
      <c r="O613" s="1964">
        <f t="shared" si="284"/>
        <v>0</v>
      </c>
      <c r="P613" s="1963">
        <f t="shared" si="284"/>
        <v>0</v>
      </c>
      <c r="Q613" s="1987">
        <f t="shared" si="284"/>
        <v>0</v>
      </c>
      <c r="R613" s="1988">
        <f t="shared" si="284"/>
        <v>0</v>
      </c>
      <c r="V613" s="1986">
        <f t="shared" ref="V613:W614" si="285">V614</f>
        <v>0</v>
      </c>
      <c r="W613" s="1986">
        <f t="shared" si="285"/>
        <v>0</v>
      </c>
    </row>
    <row r="614" spans="1:256" s="2" customFormat="1" ht="26" hidden="1" x14ac:dyDescent="0.25">
      <c r="A614" s="32"/>
      <c r="B614" s="1993" t="s">
        <v>4</v>
      </c>
      <c r="C614" s="70"/>
      <c r="D614" s="9"/>
      <c r="E614" s="9"/>
      <c r="F614" s="9" t="s">
        <v>33</v>
      </c>
      <c r="G614" s="33" t="s">
        <v>1</v>
      </c>
      <c r="H614" s="33"/>
      <c r="I614" s="9"/>
      <c r="J614" s="1131">
        <f>J615</f>
        <v>7028.6390000000001</v>
      </c>
      <c r="K614" s="1128"/>
      <c r="L614" s="1129"/>
      <c r="M614" s="1128"/>
      <c r="N614" s="1986">
        <f t="shared" si="284"/>
        <v>0</v>
      </c>
      <c r="O614" s="1964">
        <f t="shared" si="284"/>
        <v>0</v>
      </c>
      <c r="P614" s="1963">
        <f t="shared" si="284"/>
        <v>0</v>
      </c>
      <c r="Q614" s="1987">
        <f t="shared" si="284"/>
        <v>0</v>
      </c>
      <c r="R614" s="1988">
        <f t="shared" si="284"/>
        <v>0</v>
      </c>
      <c r="V614" s="1986">
        <f t="shared" si="285"/>
        <v>0</v>
      </c>
      <c r="W614" s="1986">
        <f t="shared" si="285"/>
        <v>0</v>
      </c>
      <c r="Y614" s="1"/>
      <c r="Z614" s="237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 s="2" customFormat="1" ht="13" hidden="1" x14ac:dyDescent="0.25">
      <c r="A615" s="32"/>
      <c r="B615" s="49" t="s">
        <v>34</v>
      </c>
      <c r="C615" s="70"/>
      <c r="D615" s="9"/>
      <c r="E615" s="9"/>
      <c r="F615" s="9" t="s">
        <v>33</v>
      </c>
      <c r="G615" s="33" t="s">
        <v>1</v>
      </c>
      <c r="H615" s="33"/>
      <c r="I615" s="9" t="s">
        <v>32</v>
      </c>
      <c r="J615" s="1131">
        <f>838.062+6190.577</f>
        <v>7028.6390000000001</v>
      </c>
      <c r="K615" s="1128"/>
      <c r="L615" s="1129"/>
      <c r="M615" s="1128"/>
      <c r="N615" s="1986"/>
      <c r="O615" s="1964"/>
      <c r="P615" s="1963"/>
      <c r="Q615" s="1987"/>
      <c r="R615" s="1988"/>
      <c r="V615" s="1986"/>
      <c r="W615" s="1986"/>
      <c r="Y615" s="1"/>
      <c r="Z615" s="237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 s="2" customFormat="1" ht="26" hidden="1" x14ac:dyDescent="0.25">
      <c r="A616" s="32"/>
      <c r="B616" s="90" t="s">
        <v>296</v>
      </c>
      <c r="C616" s="70"/>
      <c r="D616" s="9"/>
      <c r="E616" s="9"/>
      <c r="F616" s="34" t="s">
        <v>624</v>
      </c>
      <c r="G616" s="33"/>
      <c r="H616" s="33"/>
      <c r="I616" s="9"/>
      <c r="J616" s="1133"/>
      <c r="K616" s="1128"/>
      <c r="L616" s="1129"/>
      <c r="M616" s="1128"/>
      <c r="N616" s="2099">
        <f>N617</f>
        <v>0</v>
      </c>
      <c r="O616" s="2100"/>
      <c r="P616" s="2100"/>
      <c r="Q616" s="2101">
        <f>Q617</f>
        <v>0</v>
      </c>
      <c r="R616" s="2102">
        <f>R617</f>
        <v>0</v>
      </c>
      <c r="V616" s="2099">
        <f>V617</f>
        <v>0</v>
      </c>
      <c r="W616" s="2099">
        <f>W617</f>
        <v>0</v>
      </c>
      <c r="Y616" s="1"/>
      <c r="Z616" s="237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 s="2" customFormat="1" ht="13" hidden="1" x14ac:dyDescent="0.3">
      <c r="A617" s="32"/>
      <c r="B617" s="744" t="s">
        <v>16</v>
      </c>
      <c r="C617" s="70"/>
      <c r="D617" s="9"/>
      <c r="E617" s="9"/>
      <c r="F617" s="9" t="s">
        <v>624</v>
      </c>
      <c r="G617" s="9" t="s">
        <v>1</v>
      </c>
      <c r="H617" s="33"/>
      <c r="I617" s="9"/>
      <c r="J617" s="1133"/>
      <c r="K617" s="1128"/>
      <c r="L617" s="1129"/>
      <c r="M617" s="1128"/>
      <c r="N617" s="2021">
        <f>N618</f>
        <v>0</v>
      </c>
      <c r="O617" s="2100"/>
      <c r="P617" s="2100"/>
      <c r="Q617" s="2103">
        <f>Q618</f>
        <v>0</v>
      </c>
      <c r="R617" s="2025">
        <f>R618</f>
        <v>0</v>
      </c>
      <c r="V617" s="2021">
        <f>V618</f>
        <v>0</v>
      </c>
      <c r="W617" s="2021">
        <f>W618</f>
        <v>0</v>
      </c>
      <c r="Y617" s="1"/>
      <c r="Z617" s="237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s="2" customFormat="1" ht="13" hidden="1" x14ac:dyDescent="0.25">
      <c r="A618" s="32"/>
      <c r="B618" s="49" t="s">
        <v>64</v>
      </c>
      <c r="C618" s="70"/>
      <c r="D618" s="9"/>
      <c r="E618" s="9"/>
      <c r="F618" s="9" t="s">
        <v>624</v>
      </c>
      <c r="G618" s="9" t="s">
        <v>1</v>
      </c>
      <c r="H618" s="33" t="s">
        <v>464</v>
      </c>
      <c r="I618" s="9" t="s">
        <v>463</v>
      </c>
      <c r="J618" s="1133"/>
      <c r="K618" s="1128"/>
      <c r="L618" s="1129"/>
      <c r="M618" s="1128"/>
      <c r="N618" s="2021">
        <v>0</v>
      </c>
      <c r="O618" s="2100"/>
      <c r="P618" s="2100"/>
      <c r="Q618" s="2103">
        <v>0</v>
      </c>
      <c r="R618" s="2025">
        <v>0</v>
      </c>
      <c r="V618" s="2021">
        <v>0</v>
      </c>
      <c r="W618" s="2021">
        <v>0</v>
      </c>
      <c r="Y618" s="1"/>
      <c r="Z618" s="237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s="2" customFormat="1" ht="13" hidden="1" x14ac:dyDescent="0.25">
      <c r="A619" s="32"/>
      <c r="B619" s="1108" t="s">
        <v>31</v>
      </c>
      <c r="C619" s="31"/>
      <c r="D619" s="9"/>
      <c r="E619" s="9"/>
      <c r="F619" s="34" t="s">
        <v>30</v>
      </c>
      <c r="G619" s="33"/>
      <c r="H619" s="33"/>
      <c r="I619" s="9"/>
      <c r="J619" s="520"/>
      <c r="K619" s="65"/>
      <c r="L619" s="64">
        <f t="shared" ref="L619:R619" si="286">L620</f>
        <v>0</v>
      </c>
      <c r="M619" s="1570">
        <f t="shared" si="286"/>
        <v>0</v>
      </c>
      <c r="N619" s="2104">
        <f t="shared" si="286"/>
        <v>0</v>
      </c>
      <c r="O619" s="2105">
        <f t="shared" si="286"/>
        <v>0</v>
      </c>
      <c r="P619" s="2105">
        <f t="shared" si="286"/>
        <v>0</v>
      </c>
      <c r="Q619" s="2106">
        <f t="shared" si="286"/>
        <v>0</v>
      </c>
      <c r="R619" s="2107">
        <f t="shared" si="286"/>
        <v>0</v>
      </c>
      <c r="V619" s="2104">
        <f t="shared" ref="V619:W619" si="287">V620</f>
        <v>0</v>
      </c>
      <c r="W619" s="2104">
        <f t="shared" si="287"/>
        <v>0</v>
      </c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s="2" customFormat="1" ht="26" hidden="1" x14ac:dyDescent="0.25">
      <c r="A620" s="32"/>
      <c r="B620" s="1993" t="s">
        <v>4</v>
      </c>
      <c r="C620" s="9"/>
      <c r="D620" s="9" t="s">
        <v>15</v>
      </c>
      <c r="E620" s="9" t="s">
        <v>9</v>
      </c>
      <c r="F620" s="9" t="s">
        <v>30</v>
      </c>
      <c r="G620" s="9" t="s">
        <v>1</v>
      </c>
      <c r="H620" s="9"/>
      <c r="I620" s="9"/>
      <c r="J620" s="521"/>
      <c r="K620" s="61"/>
      <c r="L620" s="60"/>
      <c r="M620" s="1571"/>
      <c r="N620" s="2021">
        <f>N621</f>
        <v>0</v>
      </c>
      <c r="O620" s="1953">
        <f>O621</f>
        <v>0</v>
      </c>
      <c r="P620" s="1953">
        <f>P621</f>
        <v>0</v>
      </c>
      <c r="Q620" s="2078">
        <f>Q621</f>
        <v>0</v>
      </c>
      <c r="R620" s="2079">
        <f>R621</f>
        <v>0</v>
      </c>
      <c r="V620" s="2021">
        <f>V621</f>
        <v>0</v>
      </c>
      <c r="W620" s="2021">
        <f>W621</f>
        <v>0</v>
      </c>
      <c r="Y620" s="1"/>
      <c r="Z620" s="237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s="2" customFormat="1" ht="13" hidden="1" x14ac:dyDescent="0.3">
      <c r="A621" s="32"/>
      <c r="B621" s="744" t="s">
        <v>11</v>
      </c>
      <c r="C621" s="9"/>
      <c r="D621" s="9"/>
      <c r="E621" s="9"/>
      <c r="F621" s="9" t="s">
        <v>30</v>
      </c>
      <c r="G621" s="9" t="s">
        <v>1</v>
      </c>
      <c r="H621" s="9" t="s">
        <v>463</v>
      </c>
      <c r="I621" s="9" t="s">
        <v>456</v>
      </c>
      <c r="J621" s="521"/>
      <c r="K621" s="61"/>
      <c r="L621" s="60"/>
      <c r="M621" s="1571"/>
      <c r="N621" s="2021">
        <v>0</v>
      </c>
      <c r="O621" s="1953"/>
      <c r="P621" s="1953"/>
      <c r="Q621" s="2078">
        <v>0</v>
      </c>
      <c r="R621" s="2079">
        <v>0</v>
      </c>
      <c r="V621" s="2021">
        <v>0</v>
      </c>
      <c r="W621" s="2021">
        <v>0</v>
      </c>
      <c r="Y621" s="1"/>
      <c r="Z621" s="237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s="2" customFormat="1" ht="27" hidden="1" customHeight="1" x14ac:dyDescent="0.25">
      <c r="A622" s="32"/>
      <c r="B622" s="58" t="s">
        <v>29</v>
      </c>
      <c r="C622" s="9"/>
      <c r="D622" s="9" t="s">
        <v>15</v>
      </c>
      <c r="E622" s="9" t="s">
        <v>9</v>
      </c>
      <c r="F622" s="34" t="s">
        <v>27</v>
      </c>
      <c r="G622" s="48"/>
      <c r="H622" s="48"/>
      <c r="I622" s="9"/>
      <c r="J622" s="521"/>
      <c r="K622" s="47"/>
      <c r="L622" s="57">
        <f>L624</f>
        <v>10000</v>
      </c>
      <c r="M622" s="1572">
        <f>M624</f>
        <v>10000</v>
      </c>
      <c r="N622" s="2021"/>
      <c r="O622" s="1953"/>
      <c r="P622" s="1953"/>
      <c r="Q622" s="2078"/>
      <c r="R622" s="2079"/>
      <c r="V622" s="2021"/>
      <c r="W622" s="2021"/>
      <c r="Y622" s="1"/>
      <c r="Z622" s="237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s="2" customFormat="1" ht="25.15" hidden="1" customHeight="1" x14ac:dyDescent="0.25">
      <c r="A623" s="32"/>
      <c r="B623" s="2080" t="s">
        <v>28</v>
      </c>
      <c r="C623" s="9"/>
      <c r="D623" s="9"/>
      <c r="E623" s="9"/>
      <c r="F623" s="9" t="s">
        <v>27</v>
      </c>
      <c r="G623" s="9" t="s">
        <v>26</v>
      </c>
      <c r="H623" s="9"/>
      <c r="I623" s="9"/>
      <c r="J623" s="1126"/>
      <c r="K623" s="48"/>
      <c r="L623" s="54">
        <v>10000</v>
      </c>
      <c r="M623" s="1573">
        <v>10000</v>
      </c>
      <c r="N623" s="1986"/>
      <c r="O623" s="1947"/>
      <c r="P623" s="1941"/>
      <c r="Q623" s="1987"/>
      <c r="R623" s="1988"/>
      <c r="V623" s="1986"/>
      <c r="W623" s="1986"/>
      <c r="Y623" s="1"/>
      <c r="Z623" s="237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s="2" customFormat="1" ht="17.5" hidden="1" customHeight="1" x14ac:dyDescent="0.3">
      <c r="A624" s="32"/>
      <c r="B624" s="744" t="s">
        <v>11</v>
      </c>
      <c r="C624" s="9"/>
      <c r="D624" s="9" t="s">
        <v>15</v>
      </c>
      <c r="E624" s="9" t="s">
        <v>9</v>
      </c>
      <c r="F624" s="9" t="s">
        <v>27</v>
      </c>
      <c r="G624" s="9" t="s">
        <v>26</v>
      </c>
      <c r="H624" s="9"/>
      <c r="I624" s="9" t="s">
        <v>9</v>
      </c>
      <c r="J624" s="1126"/>
      <c r="K624" s="48"/>
      <c r="L624" s="54">
        <v>10000</v>
      </c>
      <c r="M624" s="1573">
        <v>10000</v>
      </c>
      <c r="N624" s="1986"/>
      <c r="O624" s="1947"/>
      <c r="P624" s="1941"/>
      <c r="Q624" s="1987"/>
      <c r="R624" s="1988"/>
      <c r="V624" s="1986"/>
      <c r="W624" s="1986"/>
      <c r="Y624" s="1"/>
      <c r="Z624" s="237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s="2" customFormat="1" ht="39.65" hidden="1" customHeight="1" x14ac:dyDescent="0.25">
      <c r="A625" s="32"/>
      <c r="B625" s="52" t="s">
        <v>25</v>
      </c>
      <c r="C625" s="9"/>
      <c r="D625" s="34" t="s">
        <v>15</v>
      </c>
      <c r="E625" s="34" t="s">
        <v>13</v>
      </c>
      <c r="F625" s="34" t="s">
        <v>24</v>
      </c>
      <c r="G625" s="48"/>
      <c r="H625" s="48"/>
      <c r="I625" s="34"/>
      <c r="J625" s="131">
        <f>J626</f>
        <v>0</v>
      </c>
      <c r="K625" s="51"/>
      <c r="L625" s="51">
        <f t="shared" ref="L625:R625" si="288">L626</f>
        <v>85</v>
      </c>
      <c r="M625" s="1553">
        <f t="shared" si="288"/>
        <v>85</v>
      </c>
      <c r="N625" s="1982">
        <f t="shared" si="288"/>
        <v>0</v>
      </c>
      <c r="O625" s="1958">
        <f t="shared" si="288"/>
        <v>0</v>
      </c>
      <c r="P625" s="1944">
        <f t="shared" si="288"/>
        <v>0</v>
      </c>
      <c r="Q625" s="1996">
        <f t="shared" si="288"/>
        <v>0</v>
      </c>
      <c r="R625" s="1997">
        <f t="shared" si="288"/>
        <v>0</v>
      </c>
      <c r="V625" s="1982">
        <f t="shared" ref="V625:W625" si="289">V626</f>
        <v>0</v>
      </c>
      <c r="W625" s="1982">
        <f t="shared" si="289"/>
        <v>0</v>
      </c>
      <c r="Y625" s="1"/>
      <c r="Z625" s="237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s="2" customFormat="1" ht="43.5" hidden="1" customHeight="1" x14ac:dyDescent="0.25">
      <c r="A626" s="32"/>
      <c r="B626" s="49" t="s">
        <v>23</v>
      </c>
      <c r="C626" s="9"/>
      <c r="D626" s="9" t="s">
        <v>15</v>
      </c>
      <c r="E626" s="9" t="s">
        <v>13</v>
      </c>
      <c r="F626" s="9" t="s">
        <v>14</v>
      </c>
      <c r="G626" s="48"/>
      <c r="H626" s="48"/>
      <c r="I626" s="9"/>
      <c r="J626" s="48">
        <f>J629</f>
        <v>0</v>
      </c>
      <c r="K626" s="47"/>
      <c r="L626" s="47">
        <f t="shared" ref="L626:R626" si="290">L629</f>
        <v>85</v>
      </c>
      <c r="M626" s="209">
        <f t="shared" si="290"/>
        <v>85</v>
      </c>
      <c r="N626" s="1986">
        <f t="shared" si="290"/>
        <v>0</v>
      </c>
      <c r="O626" s="2027">
        <f t="shared" si="290"/>
        <v>0</v>
      </c>
      <c r="P626" s="1950">
        <f t="shared" si="290"/>
        <v>0</v>
      </c>
      <c r="Q626" s="2028">
        <f t="shared" si="290"/>
        <v>0</v>
      </c>
      <c r="R626" s="2029">
        <f t="shared" si="290"/>
        <v>0</v>
      </c>
      <c r="V626" s="1986">
        <f t="shared" ref="V626:W626" si="291">V629</f>
        <v>0</v>
      </c>
      <c r="W626" s="1986">
        <f t="shared" si="291"/>
        <v>0</v>
      </c>
      <c r="Y626" s="1"/>
      <c r="Z626" s="237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 s="2" customFormat="1" ht="60.75" hidden="1" customHeight="1" x14ac:dyDescent="0.25">
      <c r="A627" s="32"/>
      <c r="B627" s="42" t="s">
        <v>22</v>
      </c>
      <c r="C627" s="31"/>
      <c r="D627" s="31" t="s">
        <v>15</v>
      </c>
      <c r="E627" s="31" t="s">
        <v>13</v>
      </c>
      <c r="F627" s="31" t="s">
        <v>21</v>
      </c>
      <c r="G627" s="2713" t="s">
        <v>20</v>
      </c>
      <c r="H627" s="2714"/>
      <c r="I627" s="2714"/>
      <c r="J627" s="2715"/>
      <c r="K627" s="45"/>
      <c r="L627" s="44"/>
      <c r="M627" s="44"/>
      <c r="N627" s="2090"/>
      <c r="O627" s="2082"/>
      <c r="P627" s="2082"/>
      <c r="Q627" s="2091"/>
      <c r="R627" s="2092"/>
      <c r="V627" s="2090"/>
      <c r="W627" s="2090"/>
      <c r="Y627" s="1"/>
      <c r="Z627" s="237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spans="1:256" s="2" customFormat="1" ht="48" hidden="1" customHeight="1" x14ac:dyDescent="0.25">
      <c r="A628" s="32"/>
      <c r="B628" s="42" t="s">
        <v>19</v>
      </c>
      <c r="C628" s="31"/>
      <c r="D628" s="31" t="s">
        <v>15</v>
      </c>
      <c r="E628" s="31" t="s">
        <v>13</v>
      </c>
      <c r="F628" s="31" t="s">
        <v>18</v>
      </c>
      <c r="G628" s="2713" t="s">
        <v>17</v>
      </c>
      <c r="H628" s="2714"/>
      <c r="I628" s="2714"/>
      <c r="J628" s="2715"/>
      <c r="K628" s="41"/>
      <c r="N628" s="2090"/>
      <c r="O628" s="2082"/>
      <c r="P628" s="2082"/>
      <c r="Q628" s="2091"/>
      <c r="R628" s="2092"/>
      <c r="V628" s="2090"/>
      <c r="W628" s="2090"/>
      <c r="Y628" s="1"/>
      <c r="Z628" s="237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spans="1:256" s="2" customFormat="1" ht="16.899999999999999" hidden="1" customHeight="1" x14ac:dyDescent="0.3">
      <c r="A629" s="32"/>
      <c r="B629" s="2108" t="s">
        <v>16</v>
      </c>
      <c r="C629" s="31"/>
      <c r="D629" s="9" t="s">
        <v>15</v>
      </c>
      <c r="E629" s="9" t="s">
        <v>13</v>
      </c>
      <c r="F629" s="9" t="s">
        <v>14</v>
      </c>
      <c r="G629" s="33" t="s">
        <v>1</v>
      </c>
      <c r="H629" s="33"/>
      <c r="I629" s="9" t="s">
        <v>13</v>
      </c>
      <c r="J629" s="515"/>
      <c r="K629" s="30"/>
      <c r="L629" s="29">
        <v>85</v>
      </c>
      <c r="M629" s="1569">
        <v>85</v>
      </c>
      <c r="N629" s="1998"/>
      <c r="O629" s="1961"/>
      <c r="P629" s="1961"/>
      <c r="Q629" s="2093"/>
      <c r="R629" s="2094"/>
      <c r="V629" s="1998"/>
      <c r="W629" s="1998"/>
      <c r="Y629" s="1"/>
      <c r="Z629" s="237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spans="1:256" ht="26.5" hidden="1" customHeight="1" x14ac:dyDescent="0.3">
      <c r="A630" s="32"/>
      <c r="B630" s="538" t="s">
        <v>525</v>
      </c>
      <c r="C630" s="31"/>
      <c r="D630" s="9"/>
      <c r="E630" s="9"/>
      <c r="F630" s="37" t="s">
        <v>524</v>
      </c>
      <c r="G630" s="33"/>
      <c r="H630" s="33"/>
      <c r="I630" s="9"/>
      <c r="J630" s="515"/>
      <c r="K630" s="30"/>
      <c r="L630" s="29"/>
      <c r="M630" s="1569"/>
      <c r="N630" s="1989">
        <f>N631</f>
        <v>0</v>
      </c>
      <c r="O630" s="1961"/>
      <c r="P630" s="1961"/>
      <c r="Q630" s="2097">
        <f>Q631</f>
        <v>0</v>
      </c>
      <c r="R630" s="2098">
        <f>R631</f>
        <v>0</v>
      </c>
      <c r="V630" s="1989">
        <f>V631</f>
        <v>0</v>
      </c>
      <c r="W630" s="1989">
        <f>W631</f>
        <v>0</v>
      </c>
    </row>
    <row r="631" spans="1:256" ht="16.899999999999999" hidden="1" customHeight="1" x14ac:dyDescent="0.3">
      <c r="A631" s="32"/>
      <c r="B631" s="58" t="s">
        <v>28</v>
      </c>
      <c r="C631" s="31"/>
      <c r="D631" s="9"/>
      <c r="E631" s="9"/>
      <c r="F631" s="10" t="s">
        <v>524</v>
      </c>
      <c r="G631" s="33" t="s">
        <v>26</v>
      </c>
      <c r="H631" s="33"/>
      <c r="I631" s="9"/>
      <c r="J631" s="515"/>
      <c r="K631" s="30"/>
      <c r="L631" s="29"/>
      <c r="M631" s="1569"/>
      <c r="N631" s="1998">
        <f>N632</f>
        <v>0</v>
      </c>
      <c r="O631" s="1961"/>
      <c r="P631" s="1961"/>
      <c r="Q631" s="2093">
        <f>Q632</f>
        <v>0</v>
      </c>
      <c r="R631" s="2094">
        <f>R632</f>
        <v>0</v>
      </c>
      <c r="V631" s="1998">
        <f>V632</f>
        <v>0</v>
      </c>
      <c r="W631" s="1998">
        <f>W632</f>
        <v>0</v>
      </c>
    </row>
    <row r="632" spans="1:256" ht="16.899999999999999" hidden="1" customHeight="1" x14ac:dyDescent="0.3">
      <c r="A632" s="32"/>
      <c r="B632" s="744" t="s">
        <v>39</v>
      </c>
      <c r="C632" s="31"/>
      <c r="D632" s="9"/>
      <c r="E632" s="9"/>
      <c r="F632" s="10" t="s">
        <v>524</v>
      </c>
      <c r="G632" s="33" t="s">
        <v>26</v>
      </c>
      <c r="H632" s="33" t="s">
        <v>463</v>
      </c>
      <c r="I632" s="9" t="s">
        <v>488</v>
      </c>
      <c r="J632" s="515"/>
      <c r="K632" s="30"/>
      <c r="L632" s="29"/>
      <c r="M632" s="1569"/>
      <c r="N632" s="1998">
        <f>4900-4900</f>
        <v>0</v>
      </c>
      <c r="O632" s="1961"/>
      <c r="P632" s="1961"/>
      <c r="Q632" s="2093">
        <f>4900-4900</f>
        <v>0</v>
      </c>
      <c r="R632" s="2094">
        <f>4900-4900</f>
        <v>0</v>
      </c>
      <c r="V632" s="1998">
        <f>4900-4900</f>
        <v>0</v>
      </c>
      <c r="W632" s="1998">
        <f>4900-4900</f>
        <v>0</v>
      </c>
    </row>
    <row r="633" spans="1:256" ht="39" hidden="1" x14ac:dyDescent="0.3">
      <c r="A633" s="32"/>
      <c r="B633" s="38" t="s">
        <v>922</v>
      </c>
      <c r="C633" s="911"/>
      <c r="D633" s="11"/>
      <c r="E633" s="11"/>
      <c r="F633" s="37" t="s">
        <v>923</v>
      </c>
      <c r="G633" s="522"/>
      <c r="H633" s="522"/>
      <c r="I633" s="522"/>
      <c r="J633" s="1135">
        <f>J634+J636</f>
        <v>600.79999999999995</v>
      </c>
      <c r="K633" s="30"/>
      <c r="L633" s="29"/>
      <c r="M633" s="1569"/>
      <c r="N633" s="2109">
        <f>N634+N636</f>
        <v>0</v>
      </c>
      <c r="O633" s="2110">
        <f>O634+O636</f>
        <v>0</v>
      </c>
      <c r="P633" s="2111">
        <f>P634+P636</f>
        <v>0</v>
      </c>
      <c r="Q633" s="2112">
        <f>Q634+Q636</f>
        <v>0</v>
      </c>
      <c r="R633" s="2113">
        <f>R634+R636</f>
        <v>0</v>
      </c>
      <c r="V633" s="2109">
        <f>V634+V636</f>
        <v>0</v>
      </c>
      <c r="W633" s="2109">
        <f>W634+W636</f>
        <v>0</v>
      </c>
    </row>
    <row r="634" spans="1:256" ht="37.5" hidden="1" customHeight="1" x14ac:dyDescent="0.3">
      <c r="A634" s="32"/>
      <c r="B634" s="2114" t="s">
        <v>916</v>
      </c>
      <c r="C634" s="911"/>
      <c r="D634" s="11"/>
      <c r="E634" s="11"/>
      <c r="F634" s="10" t="s">
        <v>923</v>
      </c>
      <c r="G634" s="9" t="s">
        <v>521</v>
      </c>
      <c r="H634" s="9"/>
      <c r="I634" s="522"/>
      <c r="J634" s="1126">
        <f>J635</f>
        <v>493.39</v>
      </c>
      <c r="K634" s="30"/>
      <c r="L634" s="29"/>
      <c r="M634" s="1569"/>
      <c r="N634" s="1986">
        <f>N635</f>
        <v>0</v>
      </c>
      <c r="O634" s="1947">
        <f>O635</f>
        <v>0</v>
      </c>
      <c r="P634" s="1941">
        <f>P635</f>
        <v>0</v>
      </c>
      <c r="Q634" s="1987">
        <f>Q635</f>
        <v>0</v>
      </c>
      <c r="R634" s="1988">
        <f>R635</f>
        <v>0</v>
      </c>
      <c r="V634" s="1986">
        <f>V635</f>
        <v>0</v>
      </c>
      <c r="W634" s="1986">
        <f>W635</f>
        <v>0</v>
      </c>
    </row>
    <row r="635" spans="1:256" ht="16.899999999999999" hidden="1" customHeight="1" x14ac:dyDescent="0.3">
      <c r="A635" s="32"/>
      <c r="B635" s="744" t="s">
        <v>39</v>
      </c>
      <c r="C635" s="911"/>
      <c r="D635" s="11"/>
      <c r="E635" s="11"/>
      <c r="F635" s="10" t="s">
        <v>923</v>
      </c>
      <c r="G635" s="9" t="s">
        <v>521</v>
      </c>
      <c r="H635" s="9" t="s">
        <v>463</v>
      </c>
      <c r="I635" s="9" t="s">
        <v>488</v>
      </c>
      <c r="J635" s="1126">
        <f>378.948+114.442</f>
        <v>493.39</v>
      </c>
      <c r="K635" s="30"/>
      <c r="L635" s="29"/>
      <c r="M635" s="1569"/>
      <c r="N635" s="1986">
        <v>0</v>
      </c>
      <c r="O635" s="1947"/>
      <c r="P635" s="1941"/>
      <c r="Q635" s="1987">
        <v>0</v>
      </c>
      <c r="R635" s="1988">
        <v>0</v>
      </c>
      <c r="V635" s="1986">
        <v>0</v>
      </c>
      <c r="W635" s="1986">
        <v>0</v>
      </c>
    </row>
    <row r="636" spans="1:256" ht="16.899999999999999" hidden="1" customHeight="1" x14ac:dyDescent="0.3">
      <c r="A636" s="32"/>
      <c r="B636" s="1993"/>
      <c r="C636" s="911"/>
      <c r="D636" s="11"/>
      <c r="E636" s="11"/>
      <c r="F636" s="10" t="s">
        <v>2</v>
      </c>
      <c r="G636" s="9" t="s">
        <v>1</v>
      </c>
      <c r="H636" s="9"/>
      <c r="I636" s="9"/>
      <c r="J636" s="1139">
        <f>J637</f>
        <v>107.41</v>
      </c>
      <c r="K636" s="30"/>
      <c r="L636" s="29"/>
      <c r="M636" s="1569"/>
      <c r="N636" s="2075">
        <f>N637</f>
        <v>0</v>
      </c>
      <c r="O636" s="2115">
        <f>O637</f>
        <v>0</v>
      </c>
      <c r="P636" s="2116">
        <f>P637</f>
        <v>0</v>
      </c>
      <c r="Q636" s="2117">
        <f>Q637</f>
        <v>0</v>
      </c>
      <c r="R636" s="2118">
        <f>R637</f>
        <v>0</v>
      </c>
      <c r="V636" s="2075">
        <f>V637</f>
        <v>0</v>
      </c>
      <c r="W636" s="2075">
        <f>W637</f>
        <v>0</v>
      </c>
    </row>
    <row r="637" spans="1:256" ht="16.899999999999999" hidden="1" customHeight="1" x14ac:dyDescent="0.3">
      <c r="A637" s="32"/>
      <c r="B637" s="12"/>
      <c r="C637" s="911"/>
      <c r="D637" s="11"/>
      <c r="E637" s="11"/>
      <c r="F637" s="10" t="s">
        <v>2</v>
      </c>
      <c r="G637" s="9" t="s">
        <v>1</v>
      </c>
      <c r="H637" s="9" t="s">
        <v>488</v>
      </c>
      <c r="I637" s="9" t="s">
        <v>495</v>
      </c>
      <c r="J637" s="1126">
        <f>86.41+21</f>
        <v>107.41</v>
      </c>
      <c r="K637" s="30"/>
      <c r="L637" s="29"/>
      <c r="M637" s="1569"/>
      <c r="N637" s="1986"/>
      <c r="O637" s="1947"/>
      <c r="P637" s="1941"/>
      <c r="Q637" s="1987"/>
      <c r="R637" s="1988"/>
      <c r="V637" s="1986"/>
      <c r="W637" s="1986"/>
      <c r="X637" s="1"/>
    </row>
    <row r="638" spans="1:256" ht="27.75" hidden="1" customHeight="1" x14ac:dyDescent="0.3">
      <c r="A638" s="32"/>
      <c r="B638" s="1143" t="s">
        <v>924</v>
      </c>
      <c r="C638" s="22"/>
      <c r="D638" s="20"/>
      <c r="E638" s="20"/>
      <c r="F638" s="1144" t="s">
        <v>925</v>
      </c>
      <c r="G638" s="142"/>
      <c r="H638" s="142"/>
      <c r="I638" s="142"/>
      <c r="J638" s="1145"/>
      <c r="K638" s="741"/>
      <c r="L638" s="742"/>
      <c r="M638" s="1570"/>
      <c r="N638" s="2099">
        <f>N639</f>
        <v>0</v>
      </c>
      <c r="O638" s="1947"/>
      <c r="P638" s="1947"/>
      <c r="Q638" s="2119">
        <f>Q639</f>
        <v>0</v>
      </c>
      <c r="R638" s="2102">
        <f>R639</f>
        <v>0</v>
      </c>
      <c r="V638" s="2099">
        <f>V639</f>
        <v>0</v>
      </c>
      <c r="W638" s="2099">
        <f>W639</f>
        <v>0</v>
      </c>
      <c r="X638" s="1"/>
    </row>
    <row r="639" spans="1:256" ht="36.75" hidden="1" customHeight="1" x14ac:dyDescent="0.3">
      <c r="A639" s="32"/>
      <c r="B639" s="2114" t="s">
        <v>916</v>
      </c>
      <c r="C639" s="22"/>
      <c r="D639" s="20"/>
      <c r="E639" s="20"/>
      <c r="F639" s="1144" t="s">
        <v>925</v>
      </c>
      <c r="G639" s="142" t="s">
        <v>521</v>
      </c>
      <c r="H639" s="142"/>
      <c r="I639" s="142"/>
      <c r="J639" s="1145"/>
      <c r="K639" s="741"/>
      <c r="L639" s="742"/>
      <c r="M639" s="1570"/>
      <c r="N639" s="2021">
        <f>N640</f>
        <v>0</v>
      </c>
      <c r="O639" s="1947"/>
      <c r="P639" s="1947"/>
      <c r="Q639" s="2024">
        <f>Q640</f>
        <v>0</v>
      </c>
      <c r="R639" s="2025">
        <f>R640</f>
        <v>0</v>
      </c>
      <c r="V639" s="2021">
        <f>V640</f>
        <v>0</v>
      </c>
      <c r="W639" s="2021">
        <f>W640</f>
        <v>0</v>
      </c>
      <c r="X639" s="1"/>
    </row>
    <row r="640" spans="1:256" ht="16.899999999999999" hidden="1" customHeight="1" x14ac:dyDescent="0.3">
      <c r="A640" s="32"/>
      <c r="B640" s="744" t="s">
        <v>39</v>
      </c>
      <c r="C640" s="911"/>
      <c r="D640" s="11"/>
      <c r="E640" s="11"/>
      <c r="F640" s="10" t="s">
        <v>925</v>
      </c>
      <c r="G640" s="9" t="s">
        <v>521</v>
      </c>
      <c r="H640" s="9" t="s">
        <v>463</v>
      </c>
      <c r="I640" s="9" t="s">
        <v>488</v>
      </c>
      <c r="J640" s="1126">
        <f>378.948+114.442</f>
        <v>493.39</v>
      </c>
      <c r="K640" s="30"/>
      <c r="L640" s="29"/>
      <c r="M640" s="1569"/>
      <c r="N640" s="1986">
        <v>0</v>
      </c>
      <c r="O640" s="1947"/>
      <c r="P640" s="1947"/>
      <c r="Q640" s="1987">
        <v>0</v>
      </c>
      <c r="R640" s="1988">
        <v>0</v>
      </c>
      <c r="V640" s="1986">
        <v>0</v>
      </c>
      <c r="W640" s="1986">
        <v>0</v>
      </c>
      <c r="X640" s="1"/>
    </row>
    <row r="641" spans="1:24" ht="27.65" hidden="1" customHeight="1" x14ac:dyDescent="0.3">
      <c r="A641" s="32"/>
      <c r="B641" s="724" t="s">
        <v>1007</v>
      </c>
      <c r="C641" s="22"/>
      <c r="D641" s="20"/>
      <c r="E641" s="20"/>
      <c r="F641" s="79" t="s">
        <v>30</v>
      </c>
      <c r="G641" s="142"/>
      <c r="H641" s="142"/>
      <c r="I641" s="142"/>
      <c r="J641" s="1145"/>
      <c r="K641" s="741"/>
      <c r="L641" s="742"/>
      <c r="M641" s="1570"/>
      <c r="N641" s="2099">
        <f>N642</f>
        <v>0</v>
      </c>
      <c r="O641" s="1947"/>
      <c r="P641" s="1947"/>
      <c r="Q641" s="2024"/>
      <c r="R641" s="2025"/>
      <c r="V641" s="2099">
        <f>V642</f>
        <v>0</v>
      </c>
      <c r="W641" s="2099">
        <f>W642</f>
        <v>0</v>
      </c>
      <c r="X641" s="1"/>
    </row>
    <row r="642" spans="1:24" ht="16.899999999999999" hidden="1" customHeight="1" x14ac:dyDescent="0.3">
      <c r="A642" s="32"/>
      <c r="B642" s="724" t="s">
        <v>16</v>
      </c>
      <c r="C642" s="22"/>
      <c r="D642" s="20"/>
      <c r="E642" s="20"/>
      <c r="F642" s="77" t="s">
        <v>30</v>
      </c>
      <c r="G642" s="142" t="s">
        <v>1</v>
      </c>
      <c r="H642" s="142"/>
      <c r="I642" s="142"/>
      <c r="J642" s="1145"/>
      <c r="K642" s="741"/>
      <c r="L642" s="742"/>
      <c r="M642" s="1570"/>
      <c r="N642" s="2021">
        <f>N643</f>
        <v>0</v>
      </c>
      <c r="O642" s="1947"/>
      <c r="P642" s="1947"/>
      <c r="Q642" s="2024"/>
      <c r="R642" s="2025"/>
      <c r="V642" s="2021">
        <f>V643</f>
        <v>0</v>
      </c>
      <c r="W642" s="2021">
        <f>W643</f>
        <v>0</v>
      </c>
      <c r="X642" s="1"/>
    </row>
    <row r="643" spans="1:24" ht="16.899999999999999" hidden="1" customHeight="1" x14ac:dyDescent="0.3">
      <c r="A643" s="32"/>
      <c r="B643" s="744" t="s">
        <v>11</v>
      </c>
      <c r="C643" s="22"/>
      <c r="D643" s="20"/>
      <c r="E643" s="20"/>
      <c r="F643" s="77" t="s">
        <v>30</v>
      </c>
      <c r="G643" s="142" t="s">
        <v>1</v>
      </c>
      <c r="H643" s="142" t="s">
        <v>463</v>
      </c>
      <c r="I643" s="142" t="s">
        <v>456</v>
      </c>
      <c r="J643" s="1145"/>
      <c r="K643" s="741"/>
      <c r="L643" s="742"/>
      <c r="M643" s="1570"/>
      <c r="N643" s="2021"/>
      <c r="O643" s="1947"/>
      <c r="P643" s="1947"/>
      <c r="Q643" s="2024"/>
      <c r="R643" s="2025"/>
      <c r="V643" s="2021"/>
      <c r="W643" s="2021"/>
      <c r="X643" s="1"/>
    </row>
    <row r="644" spans="1:24" ht="26.15" customHeight="1" x14ac:dyDescent="0.3">
      <c r="A644" s="32"/>
      <c r="B644" s="23" t="s">
        <v>8</v>
      </c>
      <c r="C644" s="22"/>
      <c r="D644" s="20"/>
      <c r="E644" s="20"/>
      <c r="F644" s="21" t="s">
        <v>2</v>
      </c>
      <c r="G644" s="20"/>
      <c r="H644" s="20"/>
      <c r="I644" s="20"/>
      <c r="J644" s="1146">
        <f>J646+J649</f>
        <v>600.79999999999995</v>
      </c>
      <c r="K644" s="1147"/>
      <c r="L644" s="1148">
        <f>L646+L649</f>
        <v>605.88300000000004</v>
      </c>
      <c r="M644" s="1574">
        <f>M646+M649</f>
        <v>605.88300000000004</v>
      </c>
      <c r="N644" s="2121">
        <f>N647+N650</f>
        <v>801.5</v>
      </c>
      <c r="O644" s="1947"/>
      <c r="P644" s="1947"/>
      <c r="Q644" s="2122">
        <f>Q646+Q649</f>
        <v>844.2</v>
      </c>
      <c r="R644" s="2123">
        <f>R647+R650</f>
        <v>874.4</v>
      </c>
      <c r="S644" s="2">
        <v>106.9</v>
      </c>
      <c r="T644" s="2">
        <v>88.4</v>
      </c>
      <c r="U644" s="2">
        <v>874.4</v>
      </c>
      <c r="V644" s="2121">
        <f>V647+V650</f>
        <v>814.8</v>
      </c>
      <c r="W644" s="2172">
        <f>W646</f>
        <v>857.3</v>
      </c>
      <c r="X644" s="1"/>
    </row>
    <row r="645" spans="1:24" ht="38.15" customHeight="1" x14ac:dyDescent="0.3">
      <c r="A645" s="32"/>
      <c r="B645" s="49" t="s">
        <v>1063</v>
      </c>
      <c r="C645" s="22"/>
      <c r="D645" s="20"/>
      <c r="E645" s="20"/>
      <c r="F645" s="10" t="s">
        <v>2</v>
      </c>
      <c r="G645" s="2349">
        <v>100</v>
      </c>
      <c r="H645" s="20"/>
      <c r="I645" s="20"/>
      <c r="J645" s="1146"/>
      <c r="K645" s="1147"/>
      <c r="L645" s="1148"/>
      <c r="M645" s="1574"/>
      <c r="N645" s="2121">
        <f>N646</f>
        <v>796.70899999999995</v>
      </c>
      <c r="O645" s="1947"/>
      <c r="P645" s="1947"/>
      <c r="Q645" s="2122"/>
      <c r="R645" s="2123"/>
      <c r="V645" s="2121">
        <f>V646</f>
        <v>813.38599999999997</v>
      </c>
      <c r="W645" s="2172">
        <f>W646</f>
        <v>857.3</v>
      </c>
      <c r="X645" s="1"/>
    </row>
    <row r="646" spans="1:24" ht="16.899999999999999" customHeight="1" x14ac:dyDescent="0.3">
      <c r="A646" s="32"/>
      <c r="B646" s="744" t="s">
        <v>7</v>
      </c>
      <c r="C646" s="911"/>
      <c r="D646" s="11"/>
      <c r="E646" s="11"/>
      <c r="F646" s="10" t="s">
        <v>2</v>
      </c>
      <c r="G646" s="9" t="s">
        <v>5</v>
      </c>
      <c r="H646" s="9"/>
      <c r="I646" s="11"/>
      <c r="J646" s="1063">
        <f>J647</f>
        <v>493.39</v>
      </c>
      <c r="K646" s="1150"/>
      <c r="L646" s="1063">
        <v>555.32000000000005</v>
      </c>
      <c r="M646" s="1125">
        <v>555.32000000000005</v>
      </c>
      <c r="N646" s="2164">
        <f>N647</f>
        <v>796.70899999999995</v>
      </c>
      <c r="O646" s="2165"/>
      <c r="P646" s="2165"/>
      <c r="Q646" s="2166">
        <f>Q647</f>
        <v>816.62400000000002</v>
      </c>
      <c r="R646" s="2167">
        <f>R647</f>
        <v>846.82399999999996</v>
      </c>
      <c r="S646" s="2168"/>
      <c r="T646" s="2168"/>
      <c r="U646" s="2168"/>
      <c r="V646" s="2164">
        <f>V647</f>
        <v>813.38599999999997</v>
      </c>
      <c r="W646" s="2164">
        <f>W647</f>
        <v>857.3</v>
      </c>
      <c r="X646" s="1"/>
    </row>
    <row r="647" spans="1:24" ht="16.899999999999999" customHeight="1" x14ac:dyDescent="0.3">
      <c r="A647" s="32"/>
      <c r="B647" s="744" t="s">
        <v>6</v>
      </c>
      <c r="C647" s="911"/>
      <c r="D647" s="11"/>
      <c r="E647" s="11"/>
      <c r="F647" s="10" t="s">
        <v>2</v>
      </c>
      <c r="G647" s="9" t="s">
        <v>5</v>
      </c>
      <c r="H647" s="9" t="s">
        <v>488</v>
      </c>
      <c r="I647" s="9" t="s">
        <v>495</v>
      </c>
      <c r="J647" s="1063">
        <f>378.948+114.442</f>
        <v>493.39</v>
      </c>
      <c r="K647" s="1150"/>
      <c r="L647" s="1063">
        <v>555.32000000000005</v>
      </c>
      <c r="M647" s="1125">
        <v>555.32000000000005</v>
      </c>
      <c r="N647" s="2164">
        <f>839.409-42.7</f>
        <v>796.70899999999995</v>
      </c>
      <c r="O647" s="2165"/>
      <c r="P647" s="2165"/>
      <c r="Q647" s="2166">
        <v>816.62400000000002</v>
      </c>
      <c r="R647" s="2167">
        <v>846.82399999999996</v>
      </c>
      <c r="S647" s="2168">
        <v>807.13300000000004</v>
      </c>
      <c r="T647" s="2168">
        <v>816.63300000000004</v>
      </c>
      <c r="U647" s="2168">
        <v>846.83299999999997</v>
      </c>
      <c r="V647" s="2164">
        <f>872.986-59.6</f>
        <v>813.38599999999997</v>
      </c>
      <c r="W647" s="2164">
        <v>857.3</v>
      </c>
      <c r="X647" s="1"/>
    </row>
    <row r="648" spans="1:24" ht="24.65" customHeight="1" x14ac:dyDescent="0.25">
      <c r="A648" s="32"/>
      <c r="B648" s="724" t="s">
        <v>948</v>
      </c>
      <c r="C648" s="911"/>
      <c r="D648" s="11"/>
      <c r="E648" s="11"/>
      <c r="F648" s="10" t="s">
        <v>2</v>
      </c>
      <c r="G648" s="9" t="s">
        <v>955</v>
      </c>
      <c r="H648" s="9"/>
      <c r="I648" s="9"/>
      <c r="J648" s="1063"/>
      <c r="K648" s="1150"/>
      <c r="L648" s="1063"/>
      <c r="M648" s="1125"/>
      <c r="N648" s="2164">
        <f>N649</f>
        <v>4.7910000000000004</v>
      </c>
      <c r="O648" s="2165"/>
      <c r="P648" s="2165"/>
      <c r="Q648" s="2166"/>
      <c r="R648" s="2167"/>
      <c r="S648" s="2168"/>
      <c r="T648" s="2168"/>
      <c r="U648" s="2168"/>
      <c r="V648" s="2164">
        <f t="shared" ref="V648:W648" si="292">V649</f>
        <v>1.4139999999999999</v>
      </c>
      <c r="W648" s="2164">
        <f t="shared" si="292"/>
        <v>0</v>
      </c>
      <c r="X648" s="1"/>
    </row>
    <row r="649" spans="1:24" ht="16.899999999999999" customHeight="1" x14ac:dyDescent="0.3">
      <c r="A649" s="32"/>
      <c r="B649" s="1993" t="s">
        <v>4</v>
      </c>
      <c r="C649" s="911"/>
      <c r="D649" s="11"/>
      <c r="E649" s="11"/>
      <c r="F649" s="10" t="s">
        <v>2</v>
      </c>
      <c r="G649" s="9" t="s">
        <v>1</v>
      </c>
      <c r="H649" s="9"/>
      <c r="I649" s="9"/>
      <c r="J649" s="1142">
        <f>J650</f>
        <v>107.41</v>
      </c>
      <c r="K649" s="1150"/>
      <c r="L649" s="1150">
        <v>50.563000000000002</v>
      </c>
      <c r="M649" s="1575">
        <v>50.563000000000002</v>
      </c>
      <c r="N649" s="2169">
        <f>N650</f>
        <v>4.7910000000000004</v>
      </c>
      <c r="O649" s="2165"/>
      <c r="P649" s="2165"/>
      <c r="Q649" s="2170">
        <f>Q650</f>
        <v>27.576000000000001</v>
      </c>
      <c r="R649" s="2171">
        <f>R650</f>
        <v>27.576000000000001</v>
      </c>
      <c r="S649" s="2168"/>
      <c r="T649" s="2168"/>
      <c r="U649" s="2168">
        <v>27.567</v>
      </c>
      <c r="V649" s="2169">
        <f>V650</f>
        <v>1.4139999999999999</v>
      </c>
      <c r="W649" s="2169">
        <f>W650</f>
        <v>0</v>
      </c>
      <c r="X649" s="1"/>
    </row>
    <row r="650" spans="1:24" ht="16.899999999999999" customHeight="1" x14ac:dyDescent="0.25">
      <c r="A650" s="32"/>
      <c r="B650" s="754" t="s">
        <v>3</v>
      </c>
      <c r="C650" s="911"/>
      <c r="D650" s="11"/>
      <c r="E650" s="11"/>
      <c r="F650" s="10" t="s">
        <v>2</v>
      </c>
      <c r="G650" s="9" t="s">
        <v>1</v>
      </c>
      <c r="H650" s="9" t="s">
        <v>488</v>
      </c>
      <c r="I650" s="9" t="s">
        <v>495</v>
      </c>
      <c r="J650" s="1063">
        <f>86.41+21</f>
        <v>107.41</v>
      </c>
      <c r="K650" s="1150"/>
      <c r="L650" s="1150">
        <v>50.563000000000002</v>
      </c>
      <c r="M650" s="1575">
        <v>50.563000000000002</v>
      </c>
      <c r="N650" s="2164">
        <v>4.7910000000000004</v>
      </c>
      <c r="O650" s="2165"/>
      <c r="P650" s="2165"/>
      <c r="Q650" s="2167">
        <v>27.576000000000001</v>
      </c>
      <c r="R650" s="2167">
        <v>27.576000000000001</v>
      </c>
      <c r="S650" s="2168"/>
      <c r="T650" s="2168"/>
      <c r="U650" s="2168"/>
      <c r="V650" s="2164">
        <v>1.4139999999999999</v>
      </c>
      <c r="W650" s="2164">
        <v>0</v>
      </c>
      <c r="X650" s="1"/>
    </row>
    <row r="651" spans="1:24" ht="25" hidden="1" customHeight="1" x14ac:dyDescent="0.25">
      <c r="A651" s="32"/>
      <c r="B651" s="1151" t="s">
        <v>1109</v>
      </c>
      <c r="C651" s="142"/>
      <c r="D651" s="143"/>
      <c r="E651" s="142"/>
      <c r="F651" s="946" t="s">
        <v>1108</v>
      </c>
      <c r="G651" s="143"/>
      <c r="H651" s="143"/>
      <c r="I651" s="142"/>
      <c r="J651" s="1103"/>
      <c r="K651" s="1103"/>
      <c r="L651" s="1103"/>
      <c r="M651" s="1124"/>
      <c r="N651" s="2099">
        <f>N652</f>
        <v>0</v>
      </c>
      <c r="O651" s="1947"/>
      <c r="P651" s="1947"/>
      <c r="Q651" s="2119"/>
      <c r="R651" s="2102"/>
      <c r="V651" s="2287">
        <f>V652</f>
        <v>0</v>
      </c>
      <c r="W651" s="2287">
        <f>W652</f>
        <v>0</v>
      </c>
      <c r="X651" s="1"/>
    </row>
    <row r="652" spans="1:24" ht="16.899999999999999" hidden="1" customHeight="1" x14ac:dyDescent="0.3">
      <c r="A652" s="32"/>
      <c r="B652" s="1993" t="s">
        <v>4</v>
      </c>
      <c r="C652" s="89"/>
      <c r="D652" s="9" t="s">
        <v>52</v>
      </c>
      <c r="E652" s="9" t="s">
        <v>58</v>
      </c>
      <c r="F652" s="9" t="s">
        <v>1108</v>
      </c>
      <c r="G652" s="88">
        <v>240</v>
      </c>
      <c r="H652" s="88"/>
      <c r="I652" s="1063"/>
      <c r="J652" s="1061"/>
      <c r="K652" s="1063"/>
      <c r="L652" s="1063"/>
      <c r="M652" s="84"/>
      <c r="N652" s="1986">
        <f>N653</f>
        <v>0</v>
      </c>
      <c r="O652" s="1947"/>
      <c r="P652" s="1947"/>
      <c r="Q652" s="1987"/>
      <c r="R652" s="1988"/>
      <c r="V652" s="2150">
        <f>V653</f>
        <v>0</v>
      </c>
      <c r="W652" s="2150">
        <f>W653</f>
        <v>0</v>
      </c>
      <c r="X652" s="1"/>
    </row>
    <row r="653" spans="1:24" ht="16.899999999999999" hidden="1" customHeight="1" x14ac:dyDescent="0.3">
      <c r="A653" s="32"/>
      <c r="B653" s="90" t="s">
        <v>34</v>
      </c>
      <c r="C653" s="89"/>
      <c r="D653" s="9"/>
      <c r="E653" s="9"/>
      <c r="F653" s="9" t="s">
        <v>1108</v>
      </c>
      <c r="G653" s="88">
        <v>240</v>
      </c>
      <c r="H653" s="9" t="s">
        <v>463</v>
      </c>
      <c r="I653" s="9" t="s">
        <v>495</v>
      </c>
      <c r="J653" s="1061"/>
      <c r="K653" s="1063"/>
      <c r="L653" s="1063"/>
      <c r="M653" s="84"/>
      <c r="N653" s="1986"/>
      <c r="O653" s="1947"/>
      <c r="P653" s="1947"/>
      <c r="Q653" s="1987"/>
      <c r="R653" s="1988"/>
      <c r="V653" s="2150">
        <v>0</v>
      </c>
      <c r="W653" s="2150">
        <v>0</v>
      </c>
      <c r="X653" s="1"/>
    </row>
    <row r="654" spans="1:24" ht="39.65" hidden="1" customHeight="1" x14ac:dyDescent="0.3">
      <c r="A654" s="844"/>
      <c r="B654" s="1954" t="s">
        <v>1004</v>
      </c>
      <c r="C654" s="735"/>
      <c r="D654" s="77"/>
      <c r="E654" s="77"/>
      <c r="F654" s="34" t="s">
        <v>1005</v>
      </c>
      <c r="G654" s="9"/>
      <c r="H654" s="9"/>
      <c r="I654" s="656"/>
      <c r="J654" s="30"/>
      <c r="K654" s="29"/>
      <c r="L654" s="527"/>
      <c r="M654" s="1576">
        <f>M655</f>
        <v>139.6</v>
      </c>
      <c r="N654" s="1982">
        <f>N655</f>
        <v>0</v>
      </c>
      <c r="O654" s="1947"/>
      <c r="P654" s="1947"/>
      <c r="Q654" s="1984">
        <f>Q655</f>
        <v>0</v>
      </c>
      <c r="R654" s="1985">
        <f>R655</f>
        <v>0</v>
      </c>
      <c r="V654" s="1982">
        <f>V655</f>
        <v>0</v>
      </c>
      <c r="W654" s="1982">
        <f>W655</f>
        <v>0</v>
      </c>
      <c r="X654" s="1"/>
    </row>
    <row r="655" spans="1:24" ht="16" hidden="1" customHeight="1" x14ac:dyDescent="0.3">
      <c r="A655" s="845"/>
      <c r="B655" s="744" t="s">
        <v>7</v>
      </c>
      <c r="C655" s="738"/>
      <c r="D655" s="2349"/>
      <c r="E655" s="2349"/>
      <c r="F655" s="142" t="s">
        <v>1005</v>
      </c>
      <c r="G655" s="142" t="s">
        <v>5</v>
      </c>
      <c r="H655" s="142"/>
      <c r="I655" s="740"/>
      <c r="J655" s="741"/>
      <c r="K655" s="742"/>
      <c r="L655" s="64"/>
      <c r="M655" s="1577">
        <f>M656</f>
        <v>139.6</v>
      </c>
      <c r="N655" s="1986">
        <f>N656</f>
        <v>0</v>
      </c>
      <c r="O655" s="1947"/>
      <c r="P655" s="1947"/>
      <c r="Q655" s="2010">
        <f>Q656</f>
        <v>0</v>
      </c>
      <c r="R655" s="1988">
        <f>R656</f>
        <v>0</v>
      </c>
      <c r="V655" s="1986">
        <f>V656</f>
        <v>0</v>
      </c>
      <c r="W655" s="1986">
        <f>W656</f>
        <v>0</v>
      </c>
      <c r="X655" s="1"/>
    </row>
    <row r="656" spans="1:24" ht="16.899999999999999" hidden="1" customHeight="1" x14ac:dyDescent="0.3">
      <c r="A656" s="844"/>
      <c r="B656" s="744" t="s">
        <v>93</v>
      </c>
      <c r="C656" s="735"/>
      <c r="D656" s="77"/>
      <c r="E656" s="77"/>
      <c r="F656" s="9" t="s">
        <v>1005</v>
      </c>
      <c r="G656" s="9" t="s">
        <v>5</v>
      </c>
      <c r="H656" s="9" t="s">
        <v>456</v>
      </c>
      <c r="I656" s="9" t="s">
        <v>573</v>
      </c>
      <c r="J656" s="30"/>
      <c r="K656" s="29"/>
      <c r="L656" s="28"/>
      <c r="M656" s="1558">
        <v>139.6</v>
      </c>
      <c r="N656" s="1986"/>
      <c r="O656" s="1947"/>
      <c r="P656" s="1947"/>
      <c r="Q656" s="2010"/>
      <c r="R656" s="1988"/>
      <c r="V656" s="1986"/>
      <c r="W656" s="1986"/>
      <c r="X656" s="1"/>
    </row>
    <row r="657" spans="1:24" ht="22" hidden="1" customHeight="1" x14ac:dyDescent="0.3">
      <c r="A657" s="844"/>
      <c r="B657" s="1894" t="s">
        <v>830</v>
      </c>
      <c r="C657" s="735"/>
      <c r="D657" s="77"/>
      <c r="E657" s="77"/>
      <c r="F657" s="34" t="s">
        <v>958</v>
      </c>
      <c r="G657" s="9"/>
      <c r="H657" s="9"/>
      <c r="I657" s="9"/>
      <c r="J657" s="1434"/>
      <c r="K657" s="29"/>
      <c r="L657" s="28"/>
      <c r="M657" s="1558"/>
      <c r="N657" s="1986">
        <f>N658</f>
        <v>0</v>
      </c>
      <c r="O657" s="1947"/>
      <c r="P657" s="1947"/>
      <c r="Q657" s="2010">
        <f>Q658</f>
        <v>0</v>
      </c>
      <c r="R657" s="1988">
        <f>R658</f>
        <v>0</v>
      </c>
      <c r="V657" s="1986">
        <f>V658</f>
        <v>0</v>
      </c>
      <c r="W657" s="1986">
        <f>W658</f>
        <v>0</v>
      </c>
      <c r="X657" s="1"/>
    </row>
    <row r="658" spans="1:24" ht="16.899999999999999" hidden="1" customHeight="1" x14ac:dyDescent="0.3">
      <c r="A658" s="844"/>
      <c r="B658" s="737" t="s">
        <v>256</v>
      </c>
      <c r="C658" s="735"/>
      <c r="D658" s="77"/>
      <c r="E658" s="77"/>
      <c r="F658" s="9" t="s">
        <v>958</v>
      </c>
      <c r="G658" s="9" t="s">
        <v>255</v>
      </c>
      <c r="H658" s="9"/>
      <c r="I658" s="9"/>
      <c r="J658" s="1434"/>
      <c r="K658" s="29"/>
      <c r="L658" s="28"/>
      <c r="M658" s="1558"/>
      <c r="N658" s="1986">
        <f>N659</f>
        <v>0</v>
      </c>
      <c r="O658" s="1947"/>
      <c r="P658" s="1947"/>
      <c r="Q658" s="2010">
        <f>Q659</f>
        <v>0</v>
      </c>
      <c r="R658" s="1988">
        <f>R659</f>
        <v>0</v>
      </c>
      <c r="V658" s="1986">
        <f>V659</f>
        <v>0</v>
      </c>
      <c r="W658" s="1986">
        <f>W659</f>
        <v>0</v>
      </c>
      <c r="X658" s="1"/>
    </row>
    <row r="659" spans="1:24" ht="16.899999999999999" hidden="1" customHeight="1" x14ac:dyDescent="0.3">
      <c r="A659" s="844"/>
      <c r="B659" s="744" t="s">
        <v>87</v>
      </c>
      <c r="C659" s="735"/>
      <c r="D659" s="77"/>
      <c r="E659" s="77"/>
      <c r="F659" s="9" t="s">
        <v>958</v>
      </c>
      <c r="G659" s="9" t="s">
        <v>255</v>
      </c>
      <c r="H659" s="9" t="s">
        <v>453</v>
      </c>
      <c r="I659" s="9" t="s">
        <v>456</v>
      </c>
      <c r="J659" s="1434"/>
      <c r="K659" s="29"/>
      <c r="L659" s="28"/>
      <c r="M659" s="1558"/>
      <c r="N659" s="1986"/>
      <c r="O659" s="1947"/>
      <c r="P659" s="1947"/>
      <c r="Q659" s="2010"/>
      <c r="R659" s="1988"/>
      <c r="V659" s="1986"/>
      <c r="W659" s="1986"/>
      <c r="X659" s="1"/>
    </row>
    <row r="660" spans="1:24" ht="13" x14ac:dyDescent="0.3">
      <c r="A660" s="32"/>
      <c r="B660" s="2124" t="s">
        <v>12</v>
      </c>
      <c r="C660" s="31"/>
      <c r="D660" s="9"/>
      <c r="E660" s="9"/>
      <c r="F660" s="34" t="s">
        <v>10</v>
      </c>
      <c r="G660" s="33"/>
      <c r="H660" s="33"/>
      <c r="I660" s="9"/>
      <c r="J660" s="28">
        <f>J662</f>
        <v>1109.2180000000001</v>
      </c>
      <c r="K660" s="30"/>
      <c r="L660" s="29"/>
      <c r="M660" s="1569"/>
      <c r="N660" s="1989">
        <f>N662</f>
        <v>947.01</v>
      </c>
      <c r="O660" s="1961">
        <f>O662</f>
        <v>799.11500000000001</v>
      </c>
      <c r="P660" s="1961">
        <f>P662</f>
        <v>895.01</v>
      </c>
      <c r="Q660" s="2097">
        <f>Q662</f>
        <v>947.01</v>
      </c>
      <c r="R660" s="2098">
        <f>R662</f>
        <v>947.01</v>
      </c>
      <c r="V660" s="1989">
        <f>V662</f>
        <v>984.89</v>
      </c>
      <c r="W660" s="1989">
        <f>W662</f>
        <v>1024.2860000000001</v>
      </c>
      <c r="X660" s="1"/>
    </row>
    <row r="661" spans="1:24" ht="26" x14ac:dyDescent="0.3">
      <c r="A661" s="32"/>
      <c r="B661" s="724" t="s">
        <v>948</v>
      </c>
      <c r="C661" s="31"/>
      <c r="D661" s="9"/>
      <c r="E661" s="9"/>
      <c r="F661" s="9" t="s">
        <v>10</v>
      </c>
      <c r="G661" s="33" t="s">
        <v>955</v>
      </c>
      <c r="H661" s="33"/>
      <c r="I661" s="9"/>
      <c r="J661" s="28"/>
      <c r="K661" s="30"/>
      <c r="L661" s="29"/>
      <c r="M661" s="1569"/>
      <c r="N661" s="1998">
        <f>N662</f>
        <v>947.01</v>
      </c>
      <c r="O661" s="1961"/>
      <c r="P661" s="1961"/>
      <c r="Q661" s="2097"/>
      <c r="R661" s="2098"/>
      <c r="V661" s="1998">
        <f t="shared" ref="V661:W661" si="293">V662</f>
        <v>984.89</v>
      </c>
      <c r="W661" s="1998">
        <f t="shared" si="293"/>
        <v>1024.2860000000001</v>
      </c>
      <c r="X661" s="1"/>
    </row>
    <row r="662" spans="1:24" ht="16.899999999999999" customHeight="1" x14ac:dyDescent="0.3">
      <c r="A662" s="32"/>
      <c r="B662" s="1993" t="s">
        <v>4</v>
      </c>
      <c r="C662" s="31"/>
      <c r="D662" s="9"/>
      <c r="E662" s="9"/>
      <c r="F662" s="9" t="s">
        <v>10</v>
      </c>
      <c r="G662" s="9" t="s">
        <v>1</v>
      </c>
      <c r="H662" s="9"/>
      <c r="I662" s="9"/>
      <c r="J662" s="28">
        <f>J663</f>
        <v>1109.2180000000001</v>
      </c>
      <c r="K662" s="30"/>
      <c r="L662" s="29"/>
      <c r="M662" s="1569"/>
      <c r="N662" s="1998">
        <f t="shared" ref="N662:R662" si="294">N663</f>
        <v>947.01</v>
      </c>
      <c r="O662" s="1961">
        <f t="shared" si="294"/>
        <v>799.11500000000001</v>
      </c>
      <c r="P662" s="1961">
        <f t="shared" si="294"/>
        <v>895.01</v>
      </c>
      <c r="Q662" s="2093">
        <f t="shared" si="294"/>
        <v>947.01</v>
      </c>
      <c r="R662" s="2094">
        <f t="shared" si="294"/>
        <v>947.01</v>
      </c>
      <c r="V662" s="1998">
        <f t="shared" ref="V662:W662" si="295">V663</f>
        <v>984.89</v>
      </c>
      <c r="W662" s="1998">
        <f t="shared" si="295"/>
        <v>1024.2860000000001</v>
      </c>
      <c r="X662" s="1"/>
    </row>
    <row r="663" spans="1:24" ht="12.75" customHeight="1" thickBot="1" x14ac:dyDescent="0.35">
      <c r="A663" s="26"/>
      <c r="B663" s="1488" t="s">
        <v>11</v>
      </c>
      <c r="C663" s="1778"/>
      <c r="D663" s="25"/>
      <c r="E663" s="25"/>
      <c r="F663" s="25" t="s">
        <v>10</v>
      </c>
      <c r="G663" s="25" t="s">
        <v>1</v>
      </c>
      <c r="H663" s="25" t="s">
        <v>463</v>
      </c>
      <c r="I663" s="25" t="s">
        <v>456</v>
      </c>
      <c r="J663" s="1779">
        <v>1109.2180000000001</v>
      </c>
      <c r="K663" s="1780"/>
      <c r="L663" s="1492"/>
      <c r="M663" s="1781"/>
      <c r="N663" s="2125">
        <v>947.01</v>
      </c>
      <c r="O663" s="2126">
        <v>799.11500000000001</v>
      </c>
      <c r="P663" s="2127">
        <v>895.01</v>
      </c>
      <c r="Q663" s="2128">
        <v>947.01</v>
      </c>
      <c r="R663" s="2129">
        <v>947.01</v>
      </c>
      <c r="V663" s="2125">
        <v>984.89</v>
      </c>
      <c r="W663" s="2125">
        <v>1024.2860000000001</v>
      </c>
      <c r="X663" s="1"/>
    </row>
    <row r="664" spans="1:24" ht="26" hidden="1" x14ac:dyDescent="0.3">
      <c r="A664" s="145"/>
      <c r="B664" s="23" t="s">
        <v>8</v>
      </c>
      <c r="C664" s="22"/>
      <c r="D664" s="20"/>
      <c r="E664" s="20"/>
      <c r="F664" s="21" t="s">
        <v>2</v>
      </c>
      <c r="G664" s="20"/>
      <c r="H664" s="20"/>
      <c r="I664" s="20"/>
      <c r="J664" s="1146">
        <f>J665+J667</f>
        <v>600.79999999999995</v>
      </c>
      <c r="K664" s="1147"/>
      <c r="L664" s="1148">
        <f t="shared" ref="L664:R664" si="296">L665+L667</f>
        <v>605.88300000000004</v>
      </c>
      <c r="M664" s="1148">
        <f t="shared" si="296"/>
        <v>605.88300000000004</v>
      </c>
      <c r="N664" s="2130">
        <f t="shared" si="296"/>
        <v>0</v>
      </c>
      <c r="O664" s="2131">
        <f t="shared" si="296"/>
        <v>600.79999999999995</v>
      </c>
      <c r="P664" s="2132">
        <f t="shared" si="296"/>
        <v>600.79999999999995</v>
      </c>
      <c r="Q664" s="2133">
        <f t="shared" si="296"/>
        <v>0</v>
      </c>
      <c r="R664" s="2133">
        <f t="shared" si="296"/>
        <v>0</v>
      </c>
      <c r="V664" s="2130">
        <f t="shared" ref="V664:W664" si="297">V665+V667</f>
        <v>0</v>
      </c>
      <c r="W664" s="2130">
        <f t="shared" si="297"/>
        <v>0</v>
      </c>
      <c r="X664" s="1"/>
    </row>
    <row r="665" spans="1:24" ht="13" hidden="1" x14ac:dyDescent="0.3">
      <c r="A665" s="32"/>
      <c r="B665" s="744" t="s">
        <v>7</v>
      </c>
      <c r="C665" s="911"/>
      <c r="D665" s="11"/>
      <c r="E665" s="11"/>
      <c r="F665" s="10" t="s">
        <v>2</v>
      </c>
      <c r="G665" s="9" t="s">
        <v>5</v>
      </c>
      <c r="H665" s="9"/>
      <c r="I665" s="11"/>
      <c r="J665" s="1063">
        <f>J666</f>
        <v>493.39</v>
      </c>
      <c r="K665" s="1150"/>
      <c r="L665" s="1063">
        <v>555.32000000000005</v>
      </c>
      <c r="M665" s="1063">
        <v>555.32000000000005</v>
      </c>
      <c r="N665" s="2134">
        <f>N666</f>
        <v>0</v>
      </c>
      <c r="O665" s="1947">
        <f>O666</f>
        <v>493.39</v>
      </c>
      <c r="P665" s="1941">
        <f>P666</f>
        <v>493.39</v>
      </c>
      <c r="Q665" s="2057">
        <f>Q666</f>
        <v>0</v>
      </c>
      <c r="R665" s="2057">
        <f>R666</f>
        <v>0</v>
      </c>
      <c r="V665" s="2134">
        <f>V666</f>
        <v>0</v>
      </c>
      <c r="W665" s="2134">
        <f>W666</f>
        <v>0</v>
      </c>
      <c r="X665" s="1"/>
    </row>
    <row r="666" spans="1:24" ht="13" hidden="1" x14ac:dyDescent="0.3">
      <c r="A666" s="32"/>
      <c r="B666" s="744" t="s">
        <v>6</v>
      </c>
      <c r="C666" s="911"/>
      <c r="D666" s="11"/>
      <c r="E666" s="11"/>
      <c r="F666" s="10" t="s">
        <v>2</v>
      </c>
      <c r="G666" s="9" t="s">
        <v>5</v>
      </c>
      <c r="H666" s="9" t="s">
        <v>488</v>
      </c>
      <c r="I666" s="9" t="s">
        <v>495</v>
      </c>
      <c r="J666" s="1063">
        <f>378.948+114.442</f>
        <v>493.39</v>
      </c>
      <c r="K666" s="1150"/>
      <c r="L666" s="1063">
        <v>555.32000000000005</v>
      </c>
      <c r="M666" s="1063">
        <v>555.32000000000005</v>
      </c>
      <c r="N666" s="2134"/>
      <c r="O666" s="1947">
        <f>378.948+114.442</f>
        <v>493.39</v>
      </c>
      <c r="P666" s="1941">
        <f>378.948+114.442</f>
        <v>493.39</v>
      </c>
      <c r="Q666" s="2057"/>
      <c r="R666" s="2057"/>
      <c r="V666" s="2134"/>
      <c r="W666" s="2134"/>
      <c r="X666" s="1"/>
    </row>
    <row r="667" spans="1:24" ht="26" hidden="1" x14ac:dyDescent="0.3">
      <c r="A667" s="32"/>
      <c r="B667" s="1993" t="s">
        <v>4</v>
      </c>
      <c r="C667" s="911"/>
      <c r="D667" s="11"/>
      <c r="E667" s="11"/>
      <c r="F667" s="10" t="s">
        <v>2</v>
      </c>
      <c r="G667" s="9" t="s">
        <v>1</v>
      </c>
      <c r="H667" s="9"/>
      <c r="I667" s="9"/>
      <c r="J667" s="1142">
        <f>J668</f>
        <v>107.41</v>
      </c>
      <c r="K667" s="1150"/>
      <c r="L667" s="1150">
        <v>50.563000000000002</v>
      </c>
      <c r="M667" s="1150">
        <v>50.563000000000002</v>
      </c>
      <c r="N667" s="2135">
        <f>N668</f>
        <v>0</v>
      </c>
      <c r="O667" s="2115">
        <f>O668</f>
        <v>107.41</v>
      </c>
      <c r="P667" s="2116">
        <f>P668</f>
        <v>107.41</v>
      </c>
      <c r="Q667" s="2136">
        <f>Q668</f>
        <v>0</v>
      </c>
      <c r="R667" s="2136">
        <f>R668</f>
        <v>0</v>
      </c>
      <c r="V667" s="2135">
        <f>V668</f>
        <v>0</v>
      </c>
      <c r="W667" s="2135">
        <f>W668</f>
        <v>0</v>
      </c>
      <c r="X667" s="1"/>
    </row>
    <row r="668" spans="1:24" ht="13.5" hidden="1" thickBot="1" x14ac:dyDescent="0.3">
      <c r="A668" s="26"/>
      <c r="B668" s="943" t="s">
        <v>3</v>
      </c>
      <c r="C668" s="896"/>
      <c r="D668" s="897"/>
      <c r="E668" s="897"/>
      <c r="F668" s="898" t="s">
        <v>2</v>
      </c>
      <c r="G668" s="25" t="s">
        <v>1</v>
      </c>
      <c r="H668" s="25" t="s">
        <v>488</v>
      </c>
      <c r="I668" s="25" t="s">
        <v>495</v>
      </c>
      <c r="J668" s="1154">
        <f>86.41+21</f>
        <v>107.41</v>
      </c>
      <c r="K668" s="1155"/>
      <c r="L668" s="1155">
        <v>50.563000000000002</v>
      </c>
      <c r="M668" s="1155">
        <v>50.563000000000002</v>
      </c>
      <c r="N668" s="2137"/>
      <c r="O668" s="1947">
        <f>86.41+21</f>
        <v>107.41</v>
      </c>
      <c r="P668" s="1941">
        <f>86.41+21</f>
        <v>107.41</v>
      </c>
      <c r="Q668" s="2138"/>
      <c r="R668" s="2138"/>
      <c r="V668" s="2137"/>
      <c r="W668" s="2137"/>
      <c r="X668" s="1"/>
    </row>
    <row r="669" spans="1:24" x14ac:dyDescent="0.25">
      <c r="X669" s="1"/>
    </row>
    <row r="670" spans="1:24" x14ac:dyDescent="0.25">
      <c r="S670" s="2">
        <v>170.6</v>
      </c>
      <c r="T670" s="2">
        <v>152.1</v>
      </c>
      <c r="U670" s="2">
        <v>938.1</v>
      </c>
    </row>
    <row r="677" spans="2:2" ht="13" x14ac:dyDescent="0.3">
      <c r="B677" s="195"/>
    </row>
  </sheetData>
  <mergeCells count="24">
    <mergeCell ref="V1:W1"/>
    <mergeCell ref="V2:W2"/>
    <mergeCell ref="V3:W3"/>
    <mergeCell ref="V4:W4"/>
    <mergeCell ref="V5:W5"/>
    <mergeCell ref="G11:N11"/>
    <mergeCell ref="Q11:R11"/>
    <mergeCell ref="I8:N8"/>
    <mergeCell ref="Q8:R8"/>
    <mergeCell ref="F9:N9"/>
    <mergeCell ref="Q9:R9"/>
    <mergeCell ref="Q10:R10"/>
    <mergeCell ref="G628:J628"/>
    <mergeCell ref="B18:J18"/>
    <mergeCell ref="A19:R19"/>
    <mergeCell ref="A20:R20"/>
    <mergeCell ref="A21:R21"/>
    <mergeCell ref="A22:R22"/>
    <mergeCell ref="A23:R23"/>
    <mergeCell ref="G133:J133"/>
    <mergeCell ref="G134:J134"/>
    <mergeCell ref="G585:J585"/>
    <mergeCell ref="G586:J586"/>
    <mergeCell ref="G627:J627"/>
  </mergeCells>
  <pageMargins left="0.59055118110236227" right="0.17" top="0.34" bottom="0.3" header="0.34" footer="0.31496062992125984"/>
  <pageSetup paperSize="9" scale="46" firstPageNumber="55" fitToHeight="4" orientation="portrait" useFirstPageNumber="1" r:id="rId1"/>
  <headerFooter alignWithMargins="0"/>
  <rowBreaks count="1" manualBreakCount="1">
    <brk id="248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6" width="22.1796875" style="1906" hidden="1" customWidth="1"/>
    <col min="17" max="18" width="22.1796875" style="1906" customWidth="1"/>
    <col min="19" max="21" width="10.26953125" style="2" hidden="1" customWidth="1"/>
    <col min="22" max="22" width="9.1796875" style="2"/>
    <col min="23" max="23" width="28.54296875" style="2" customWidth="1"/>
    <col min="24" max="24" width="18.81640625" style="2" customWidth="1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2601"/>
      <c r="J2" s="2601"/>
      <c r="K2" s="2601"/>
      <c r="L2" s="2601"/>
      <c r="M2" s="2601"/>
      <c r="N2" s="2601"/>
      <c r="O2" s="1910"/>
      <c r="P2" s="1909"/>
      <c r="Q2" s="2723" t="s">
        <v>450</v>
      </c>
      <c r="R2" s="2723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2601"/>
      <c r="G3" s="2601"/>
      <c r="H3" s="2601"/>
      <c r="I3" s="2601"/>
      <c r="J3" s="2601"/>
      <c r="K3" s="2601"/>
      <c r="L3" s="2601"/>
      <c r="M3" s="2601"/>
      <c r="N3" s="2601"/>
      <c r="O3" s="1909"/>
      <c r="P3" s="1909"/>
      <c r="Q3" s="2723" t="s">
        <v>449</v>
      </c>
      <c r="R3" s="2723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2723" t="s">
        <v>448</v>
      </c>
      <c r="R4" s="2723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1824" t="s">
        <v>447</v>
      </c>
      <c r="E5" s="1824"/>
      <c r="F5" s="1824"/>
      <c r="G5" s="2651"/>
      <c r="H5" s="2651"/>
      <c r="I5" s="2651"/>
      <c r="J5" s="2651"/>
      <c r="K5" s="2651"/>
      <c r="L5" s="2651"/>
      <c r="M5" s="2651"/>
      <c r="N5" s="2651"/>
      <c r="O5" s="1913"/>
      <c r="P5" s="1913"/>
      <c r="Q5" s="2722" t="s">
        <v>991</v>
      </c>
      <c r="R5" s="2722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5" x14ac:dyDescent="0.3">
      <c r="B12" s="2716"/>
      <c r="C12" s="2716"/>
      <c r="D12" s="2716"/>
      <c r="E12" s="2716"/>
      <c r="F12" s="2716"/>
      <c r="G12" s="2716"/>
      <c r="H12" s="2716"/>
      <c r="I12" s="2716"/>
      <c r="J12" s="271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5" customHeight="1" x14ac:dyDescent="0.3">
      <c r="A13" s="2717" t="s">
        <v>441</v>
      </c>
      <c r="B13" s="2717"/>
      <c r="C13" s="2717"/>
      <c r="D13" s="2717"/>
      <c r="E13" s="2717"/>
      <c r="F13" s="2717"/>
      <c r="G13" s="2717"/>
      <c r="H13" s="2717"/>
      <c r="I13" s="2717"/>
      <c r="J13" s="2717"/>
      <c r="K13" s="2717"/>
      <c r="L13" s="2717"/>
      <c r="M13" s="2717"/>
      <c r="N13" s="2717"/>
      <c r="O13" s="2717"/>
      <c r="P13" s="2717"/>
      <c r="Q13" s="2717"/>
      <c r="R13" s="2717"/>
    </row>
    <row r="14" spans="1:256" ht="17.5" customHeight="1" x14ac:dyDescent="0.3">
      <c r="A14" s="2718" t="s">
        <v>440</v>
      </c>
      <c r="B14" s="2718"/>
      <c r="C14" s="2718"/>
      <c r="D14" s="2718"/>
      <c r="E14" s="2718"/>
      <c r="F14" s="2718"/>
      <c r="G14" s="2718"/>
      <c r="H14" s="2718"/>
      <c r="I14" s="2718"/>
      <c r="J14" s="2718"/>
      <c r="K14" s="2718"/>
      <c r="L14" s="2718"/>
      <c r="M14" s="2718"/>
      <c r="N14" s="2718"/>
      <c r="O14" s="2718"/>
      <c r="P14" s="2718"/>
      <c r="Q14" s="2718"/>
      <c r="R14" s="2718"/>
    </row>
    <row r="15" spans="1:256" ht="15" customHeight="1" x14ac:dyDescent="0.3">
      <c r="A15" s="2717" t="s">
        <v>439</v>
      </c>
      <c r="B15" s="2717"/>
      <c r="C15" s="2717"/>
      <c r="D15" s="2717"/>
      <c r="E15" s="2717"/>
      <c r="F15" s="2717"/>
      <c r="G15" s="2717"/>
      <c r="H15" s="2717"/>
      <c r="I15" s="2717"/>
      <c r="J15" s="2717"/>
      <c r="K15" s="2717"/>
      <c r="L15" s="2717"/>
      <c r="M15" s="2717"/>
      <c r="N15" s="2717"/>
      <c r="O15" s="2717"/>
      <c r="P15" s="2717"/>
      <c r="Q15" s="2717"/>
      <c r="R15" s="2717"/>
    </row>
    <row r="16" spans="1:256" ht="13.5" customHeight="1" x14ac:dyDescent="0.3">
      <c r="A16" s="2717" t="s">
        <v>438</v>
      </c>
      <c r="B16" s="2717"/>
      <c r="C16" s="2717"/>
      <c r="D16" s="2717"/>
      <c r="E16" s="2717"/>
      <c r="F16" s="2717"/>
      <c r="G16" s="2717"/>
      <c r="H16" s="2717"/>
      <c r="I16" s="2717"/>
      <c r="J16" s="2717"/>
      <c r="K16" s="2717"/>
      <c r="L16" s="2717"/>
      <c r="M16" s="2717"/>
      <c r="N16" s="2717"/>
      <c r="O16" s="2717"/>
      <c r="P16" s="2717"/>
      <c r="Q16" s="2717"/>
      <c r="R16" s="2717"/>
    </row>
    <row r="17" spans="1:24" ht="16.149999999999999" customHeight="1" x14ac:dyDescent="0.3">
      <c r="A17" s="2717" t="s">
        <v>969</v>
      </c>
      <c r="B17" s="2717"/>
      <c r="C17" s="2717"/>
      <c r="D17" s="2717"/>
      <c r="E17" s="2717"/>
      <c r="F17" s="2717"/>
      <c r="G17" s="2717"/>
      <c r="H17" s="2717"/>
      <c r="I17" s="2717"/>
      <c r="J17" s="2717"/>
      <c r="K17" s="2717"/>
      <c r="L17" s="2717"/>
      <c r="M17" s="2717"/>
      <c r="N17" s="2717"/>
      <c r="O17" s="2717"/>
      <c r="P17" s="2717"/>
      <c r="Q17" s="2717"/>
      <c r="R17" s="2717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3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3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26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3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3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3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3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3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3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3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3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3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5" hidden="1" customHeight="1" x14ac:dyDescent="0.3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98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52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719" t="s">
        <v>20</v>
      </c>
      <c r="H127" s="2720"/>
      <c r="I127" s="2720"/>
      <c r="J127" s="2721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713" t="s">
        <v>17</v>
      </c>
      <c r="H128" s="2714"/>
      <c r="I128" s="2714"/>
      <c r="J128" s="2715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3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3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3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3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3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2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5" customHeight="1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5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 t="shared" ref="Q219:R219" si="76">Q223+Q220</f>
        <v>362</v>
      </c>
      <c r="R219" s="2002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5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3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6" x14ac:dyDescent="0.25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7">N224</f>
        <v>250</v>
      </c>
      <c r="O223" s="1999">
        <f t="shared" si="77"/>
        <v>302</v>
      </c>
      <c r="P223" s="1937">
        <f t="shared" si="77"/>
        <v>337</v>
      </c>
      <c r="Q223" s="2000">
        <f t="shared" si="77"/>
        <v>260</v>
      </c>
      <c r="R223" s="2001">
        <f t="shared" si="77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5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7"/>
        <v>250</v>
      </c>
      <c r="O224" s="1999">
        <f t="shared" si="77"/>
        <v>302</v>
      </c>
      <c r="P224" s="1937">
        <f t="shared" si="77"/>
        <v>337</v>
      </c>
      <c r="Q224" s="2000">
        <f t="shared" si="77"/>
        <v>260</v>
      </c>
      <c r="R224" s="2001">
        <f t="shared" si="77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3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5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8">L227</f>
        <v>6305</v>
      </c>
      <c r="M226" s="1553">
        <f t="shared" si="78"/>
        <v>6960</v>
      </c>
      <c r="N226" s="1982">
        <f t="shared" si="78"/>
        <v>13348.895</v>
      </c>
      <c r="O226" s="1958">
        <f t="shared" si="78"/>
        <v>6962.0999999999995</v>
      </c>
      <c r="P226" s="1944">
        <f t="shared" si="78"/>
        <v>6915</v>
      </c>
      <c r="Q226" s="1996">
        <f t="shared" si="78"/>
        <v>12173.939999999999</v>
      </c>
      <c r="R226" s="1997">
        <f t="shared" si="78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9" x14ac:dyDescent="0.25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 t="shared" ref="L227:P227" si="79">L229</f>
        <v>6305</v>
      </c>
      <c r="M227" s="1557">
        <f t="shared" si="79"/>
        <v>6960</v>
      </c>
      <c r="N227" s="1998">
        <f>N228</f>
        <v>13348.895</v>
      </c>
      <c r="O227" s="1999">
        <f t="shared" si="79"/>
        <v>6962.0999999999995</v>
      </c>
      <c r="P227" s="1937">
        <f t="shared" si="79"/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25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6" x14ac:dyDescent="0.25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80">L230+L232+L234</f>
        <v>6305</v>
      </c>
      <c r="M229" s="1557">
        <f t="shared" si="80"/>
        <v>6960</v>
      </c>
      <c r="N229" s="2004">
        <f t="shared" si="80"/>
        <v>10682.695</v>
      </c>
      <c r="O229" s="2005">
        <f t="shared" si="80"/>
        <v>6962.0999999999995</v>
      </c>
      <c r="P229" s="2006">
        <f t="shared" si="80"/>
        <v>6915</v>
      </c>
      <c r="Q229" s="2007">
        <f t="shared" si="80"/>
        <v>9507.74</v>
      </c>
      <c r="R229" s="2008">
        <f t="shared" si="80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5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13" x14ac:dyDescent="0.3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13" x14ac:dyDescent="0.3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3" x14ac:dyDescent="0.3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5" hidden="1" customHeight="1" x14ac:dyDescent="0.25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81">L240</f>
        <v>1278.5</v>
      </c>
      <c r="M236" s="1553">
        <f t="shared" si="81"/>
        <v>1238.5</v>
      </c>
      <c r="N236" s="1982">
        <f t="shared" si="81"/>
        <v>3613.7040000000002</v>
      </c>
      <c r="O236" s="1958">
        <f t="shared" si="81"/>
        <v>1250.5</v>
      </c>
      <c r="P236" s="1944">
        <f t="shared" si="81"/>
        <v>1348</v>
      </c>
      <c r="Q236" s="1996">
        <f t="shared" si="81"/>
        <v>3017.4</v>
      </c>
      <c r="R236" s="1997">
        <f t="shared" si="81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5" customHeight="1" x14ac:dyDescent="0.3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49999999999999" customHeight="1" x14ac:dyDescent="0.3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3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6" x14ac:dyDescent="0.25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2">L242</f>
        <v>1278.5</v>
      </c>
      <c r="M240" s="1557">
        <f t="shared" si="82"/>
        <v>1238.5</v>
      </c>
      <c r="N240" s="1998">
        <f t="shared" si="82"/>
        <v>3613.7040000000002</v>
      </c>
      <c r="O240" s="1999">
        <f t="shared" si="82"/>
        <v>1250.5</v>
      </c>
      <c r="P240" s="1937">
        <f t="shared" si="82"/>
        <v>1348</v>
      </c>
      <c r="Q240" s="2000">
        <f t="shared" si="82"/>
        <v>3017.4</v>
      </c>
      <c r="R240" s="2001">
        <f t="shared" si="82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13" x14ac:dyDescent="0.25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3">N242</f>
        <v>3613.7040000000002</v>
      </c>
      <c r="O241" s="1999">
        <f t="shared" si="83"/>
        <v>1250.5</v>
      </c>
      <c r="P241" s="1937">
        <f t="shared" si="83"/>
        <v>1348</v>
      </c>
      <c r="Q241" s="2000">
        <f t="shared" si="83"/>
        <v>3017.4</v>
      </c>
      <c r="R241" s="2001">
        <f t="shared" si="83"/>
        <v>3338</v>
      </c>
    </row>
    <row r="242" spans="1:24" ht="13" x14ac:dyDescent="0.25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 t="shared" ref="L242:M242" si="84">L243</f>
        <v>1278.5</v>
      </c>
      <c r="M242" s="1557">
        <f t="shared" si="84"/>
        <v>1238.5</v>
      </c>
      <c r="N242" s="1998">
        <f t="shared" si="83"/>
        <v>3613.7040000000002</v>
      </c>
      <c r="O242" s="1999">
        <f t="shared" si="83"/>
        <v>1250.5</v>
      </c>
      <c r="P242" s="1937">
        <f t="shared" si="83"/>
        <v>1348</v>
      </c>
      <c r="Q242" s="2000">
        <f t="shared" si="83"/>
        <v>3017.4</v>
      </c>
      <c r="R242" s="2001">
        <f t="shared" si="83"/>
        <v>3338</v>
      </c>
    </row>
    <row r="243" spans="1:24" ht="25.15" customHeight="1" x14ac:dyDescent="0.25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2" hidden="1" x14ac:dyDescent="0.3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" x14ac:dyDescent="0.3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5" customHeight="1" x14ac:dyDescent="0.25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5">L247+L260</f>
        <v>1182</v>
      </c>
      <c r="M246" s="1553">
        <f t="shared" si="85"/>
        <v>1022</v>
      </c>
      <c r="N246" s="1982">
        <f t="shared" si="85"/>
        <v>786</v>
      </c>
      <c r="O246" s="1958">
        <f t="shared" si="85"/>
        <v>1202</v>
      </c>
      <c r="P246" s="1944">
        <f t="shared" si="85"/>
        <v>676</v>
      </c>
      <c r="Q246" s="1996">
        <f t="shared" si="85"/>
        <v>1202</v>
      </c>
      <c r="R246" s="1997">
        <f t="shared" si="85"/>
        <v>1250.04</v>
      </c>
    </row>
    <row r="247" spans="1:24" ht="65" x14ac:dyDescent="0.25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9" hidden="1" x14ac:dyDescent="0.25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6">N249</f>
        <v>0</v>
      </c>
      <c r="O248" s="1947">
        <f t="shared" si="86"/>
        <v>0</v>
      </c>
      <c r="P248" s="1941">
        <f t="shared" si="86"/>
        <v>0</v>
      </c>
      <c r="Q248" s="1987">
        <f t="shared" si="86"/>
        <v>0</v>
      </c>
      <c r="R248" s="1988">
        <f t="shared" si="86"/>
        <v>0</v>
      </c>
    </row>
    <row r="249" spans="1:24" ht="26" hidden="1" x14ac:dyDescent="0.25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6"/>
        <v>0</v>
      </c>
      <c r="O249" s="1947">
        <f t="shared" si="86"/>
        <v>0</v>
      </c>
      <c r="P249" s="1941">
        <f t="shared" si="86"/>
        <v>0</v>
      </c>
      <c r="Q249" s="1987">
        <f t="shared" si="86"/>
        <v>0</v>
      </c>
      <c r="R249" s="1988">
        <f t="shared" si="86"/>
        <v>0</v>
      </c>
    </row>
    <row r="250" spans="1:24" ht="25.15" hidden="1" customHeight="1" x14ac:dyDescent="0.25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6"/>
        <v>0</v>
      </c>
      <c r="O250" s="1947">
        <f t="shared" si="86"/>
        <v>0</v>
      </c>
      <c r="P250" s="1941">
        <f t="shared" si="86"/>
        <v>0</v>
      </c>
      <c r="Q250" s="1987">
        <f t="shared" si="86"/>
        <v>0</v>
      </c>
      <c r="R250" s="1988">
        <f t="shared" si="86"/>
        <v>0</v>
      </c>
    </row>
    <row r="251" spans="1:24" ht="26" hidden="1" x14ac:dyDescent="0.3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9" x14ac:dyDescent="0.25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6" x14ac:dyDescent="0.25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7">N254</f>
        <v>82.037000000000006</v>
      </c>
      <c r="O253" s="1947">
        <f t="shared" si="87"/>
        <v>320</v>
      </c>
      <c r="P253" s="1941">
        <f t="shared" si="87"/>
        <v>340</v>
      </c>
      <c r="Q253" s="1987">
        <f t="shared" si="87"/>
        <v>376</v>
      </c>
      <c r="R253" s="1988">
        <f t="shared" si="87"/>
        <v>391</v>
      </c>
    </row>
    <row r="254" spans="1:24" ht="26" x14ac:dyDescent="0.25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7"/>
        <v>82.037000000000006</v>
      </c>
      <c r="O254" s="1947">
        <f t="shared" si="87"/>
        <v>320</v>
      </c>
      <c r="P254" s="1941">
        <f t="shared" si="87"/>
        <v>340</v>
      </c>
      <c r="Q254" s="1987">
        <f t="shared" si="87"/>
        <v>376</v>
      </c>
      <c r="R254" s="1988">
        <f t="shared" si="87"/>
        <v>391</v>
      </c>
    </row>
    <row r="255" spans="1:24" ht="26" x14ac:dyDescent="0.3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ht="13" x14ac:dyDescent="0.25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8">N257</f>
        <v>529.96299999999997</v>
      </c>
      <c r="O256" s="1947">
        <f t="shared" si="88"/>
        <v>186</v>
      </c>
      <c r="P256" s="1941">
        <f t="shared" si="88"/>
        <v>306</v>
      </c>
      <c r="Q256" s="1987">
        <f t="shared" si="88"/>
        <v>230</v>
      </c>
      <c r="R256" s="1988">
        <f t="shared" si="88"/>
        <v>239.2</v>
      </c>
    </row>
    <row r="257" spans="1:24" ht="13" x14ac:dyDescent="0.25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8"/>
        <v>529.96299999999997</v>
      </c>
      <c r="O257" s="1947">
        <f t="shared" si="88"/>
        <v>186</v>
      </c>
      <c r="P257" s="1941">
        <f t="shared" si="88"/>
        <v>306</v>
      </c>
      <c r="Q257" s="1987">
        <f t="shared" si="88"/>
        <v>230</v>
      </c>
      <c r="R257" s="1988">
        <f t="shared" si="88"/>
        <v>239.2</v>
      </c>
    </row>
    <row r="258" spans="1:24" ht="25.15" customHeight="1" x14ac:dyDescent="0.25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8"/>
        <v>529.96299999999997</v>
      </c>
      <c r="O258" s="1947">
        <f t="shared" si="88"/>
        <v>186</v>
      </c>
      <c r="P258" s="1941">
        <f t="shared" si="88"/>
        <v>306</v>
      </c>
      <c r="Q258" s="1987">
        <f t="shared" si="88"/>
        <v>230</v>
      </c>
      <c r="R258" s="1988">
        <f t="shared" si="88"/>
        <v>239.2</v>
      </c>
    </row>
    <row r="259" spans="1:24" ht="26" x14ac:dyDescent="0.3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5" x14ac:dyDescent="0.25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9">N261</f>
        <v>174</v>
      </c>
      <c r="O260" s="1947">
        <f t="shared" si="89"/>
        <v>696</v>
      </c>
      <c r="P260" s="1941">
        <f t="shared" si="89"/>
        <v>30</v>
      </c>
      <c r="Q260" s="1987">
        <f t="shared" si="89"/>
        <v>596</v>
      </c>
      <c r="R260" s="1988">
        <f t="shared" si="89"/>
        <v>619.84</v>
      </c>
    </row>
    <row r="261" spans="1:24" ht="52" x14ac:dyDescent="0.25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9"/>
        <v>174</v>
      </c>
      <c r="O261" s="1947">
        <f t="shared" si="89"/>
        <v>696</v>
      </c>
      <c r="P261" s="1941">
        <f t="shared" si="89"/>
        <v>30</v>
      </c>
      <c r="Q261" s="1987">
        <f t="shared" si="89"/>
        <v>596</v>
      </c>
      <c r="R261" s="1988">
        <f t="shared" si="89"/>
        <v>619.84</v>
      </c>
    </row>
    <row r="262" spans="1:24" ht="13" x14ac:dyDescent="0.25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90">L264</f>
        <v>686</v>
      </c>
      <c r="M262" s="1125">
        <f t="shared" si="90"/>
        <v>686</v>
      </c>
      <c r="N262" s="1986">
        <f t="shared" si="90"/>
        <v>174</v>
      </c>
      <c r="O262" s="1947">
        <f t="shared" si="90"/>
        <v>696</v>
      </c>
      <c r="P262" s="1941">
        <f t="shared" si="90"/>
        <v>30</v>
      </c>
      <c r="Q262" s="1987">
        <f t="shared" si="90"/>
        <v>596</v>
      </c>
      <c r="R262" s="1988">
        <f t="shared" si="90"/>
        <v>619.84</v>
      </c>
    </row>
    <row r="263" spans="1:24" ht="40.5" hidden="1" customHeight="1" x14ac:dyDescent="0.25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5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5" customHeight="1" x14ac:dyDescent="0.3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3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91">L267+L282</f>
        <v>11444.685000000001</v>
      </c>
      <c r="M266" s="1553">
        <f t="shared" si="91"/>
        <v>14038.547</v>
      </c>
      <c r="N266" s="1982">
        <f t="shared" si="91"/>
        <v>4330.8469999999998</v>
      </c>
      <c r="O266" s="1958">
        <f t="shared" si="91"/>
        <v>5740</v>
      </c>
      <c r="P266" s="1944">
        <f t="shared" si="91"/>
        <v>5980</v>
      </c>
      <c r="Q266" s="1996">
        <f t="shared" si="91"/>
        <v>3908.3220000000001</v>
      </c>
      <c r="R266" s="1997">
        <f t="shared" si="91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5" customHeight="1" x14ac:dyDescent="0.3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92">N270</f>
        <v>1207.0939999999998</v>
      </c>
      <c r="O269" s="1947">
        <f t="shared" si="92"/>
        <v>0</v>
      </c>
      <c r="P269" s="1941">
        <f t="shared" si="92"/>
        <v>0</v>
      </c>
      <c r="Q269" s="1987">
        <f t="shared" si="92"/>
        <v>0</v>
      </c>
      <c r="R269" s="1988">
        <f t="shared" si="92"/>
        <v>0</v>
      </c>
      <c r="S269" s="84"/>
      <c r="T269" s="84"/>
      <c r="U269" s="84"/>
      <c r="V269" s="84"/>
      <c r="W269" s="84"/>
      <c r="X269" s="84"/>
    </row>
    <row r="270" spans="1:24" s="83" customFormat="1" ht="26" x14ac:dyDescent="0.3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92"/>
        <v>1207.0939999999998</v>
      </c>
      <c r="O270" s="1947">
        <f t="shared" si="92"/>
        <v>0</v>
      </c>
      <c r="P270" s="1941">
        <f t="shared" si="92"/>
        <v>0</v>
      </c>
      <c r="Q270" s="1987">
        <f t="shared" si="92"/>
        <v>0</v>
      </c>
      <c r="R270" s="1988">
        <f t="shared" si="92"/>
        <v>0</v>
      </c>
      <c r="S270" s="84"/>
      <c r="T270" s="84"/>
      <c r="U270" s="84"/>
      <c r="V270" s="84"/>
      <c r="W270" s="84"/>
      <c r="X270" s="84"/>
    </row>
    <row r="271" spans="1:24" s="83" customFormat="1" ht="13" x14ac:dyDescent="0.3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6" x14ac:dyDescent="0.3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3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2" hidden="1" x14ac:dyDescent="0.3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ht="13" x14ac:dyDescent="0.3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39" hidden="1" x14ac:dyDescent="0.3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3">N277</f>
        <v>0</v>
      </c>
      <c r="O276" s="1947">
        <f t="shared" si="93"/>
        <v>0</v>
      </c>
      <c r="P276" s="1941">
        <f t="shared" si="93"/>
        <v>0</v>
      </c>
      <c r="Q276" s="1987">
        <f t="shared" si="93"/>
        <v>0</v>
      </c>
      <c r="R276" s="1988">
        <f t="shared" si="93"/>
        <v>0</v>
      </c>
      <c r="S276" s="84"/>
      <c r="T276" s="84"/>
      <c r="U276" s="84"/>
      <c r="V276" s="84"/>
      <c r="W276" s="84"/>
      <c r="X276" s="84"/>
    </row>
    <row r="277" spans="1:24" s="83" customFormat="1" ht="26" hidden="1" x14ac:dyDescent="0.3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3"/>
        <v>0</v>
      </c>
      <c r="O277" s="1947">
        <f t="shared" si="93"/>
        <v>0</v>
      </c>
      <c r="P277" s="1941">
        <f t="shared" si="93"/>
        <v>0</v>
      </c>
      <c r="Q277" s="1987">
        <f t="shared" si="93"/>
        <v>0</v>
      </c>
      <c r="R277" s="1988">
        <f t="shared" si="93"/>
        <v>0</v>
      </c>
      <c r="S277" s="84"/>
      <c r="T277" s="84"/>
      <c r="U277" s="84"/>
      <c r="V277" s="84"/>
      <c r="W277" s="84"/>
      <c r="X277" s="84"/>
    </row>
    <row r="278" spans="1:24" s="83" customFormat="1" ht="13" hidden="1" x14ac:dyDescent="0.3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6" hidden="1" x14ac:dyDescent="0.3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4">N280</f>
        <v>0</v>
      </c>
      <c r="O279" s="1947">
        <f t="shared" si="94"/>
        <v>0</v>
      </c>
      <c r="P279" s="1941">
        <f t="shared" si="94"/>
        <v>0</v>
      </c>
      <c r="Q279" s="1987">
        <f t="shared" si="94"/>
        <v>0</v>
      </c>
      <c r="R279" s="1988">
        <f t="shared" si="94"/>
        <v>0</v>
      </c>
      <c r="S279" s="84"/>
      <c r="T279" s="84"/>
      <c r="U279" s="84"/>
      <c r="V279" s="84"/>
      <c r="W279" s="84"/>
      <c r="X279" s="84"/>
    </row>
    <row r="280" spans="1:24" s="83" customFormat="1" ht="26" hidden="1" x14ac:dyDescent="0.3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4"/>
        <v>0</v>
      </c>
      <c r="O280" s="1947">
        <f t="shared" si="94"/>
        <v>0</v>
      </c>
      <c r="P280" s="1941">
        <f t="shared" si="94"/>
        <v>0</v>
      </c>
      <c r="Q280" s="1987">
        <f t="shared" si="94"/>
        <v>0</v>
      </c>
      <c r="R280" s="1988">
        <f t="shared" si="94"/>
        <v>0</v>
      </c>
      <c r="S280" s="84"/>
      <c r="T280" s="84"/>
      <c r="U280" s="84"/>
      <c r="V280" s="84"/>
      <c r="W280" s="84"/>
      <c r="X280" s="84"/>
    </row>
    <row r="281" spans="1:24" s="83" customFormat="1" ht="13" hidden="1" x14ac:dyDescent="0.3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39" x14ac:dyDescent="0.3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6" x14ac:dyDescent="0.3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ht="13" x14ac:dyDescent="0.3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5">N285</f>
        <v>601.40300000000002</v>
      </c>
      <c r="O284" s="1947">
        <f t="shared" si="95"/>
        <v>5240</v>
      </c>
      <c r="P284" s="1941">
        <f t="shared" si="95"/>
        <v>5380</v>
      </c>
      <c r="Q284" s="1987">
        <f t="shared" si="95"/>
        <v>1722.2</v>
      </c>
      <c r="R284" s="1988">
        <f t="shared" si="95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6" x14ac:dyDescent="0.3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5"/>
        <v>601.40300000000002</v>
      </c>
      <c r="O285" s="1947">
        <f t="shared" si="95"/>
        <v>5240</v>
      </c>
      <c r="P285" s="1941">
        <f t="shared" si="95"/>
        <v>5380</v>
      </c>
      <c r="Q285" s="1987">
        <f t="shared" si="95"/>
        <v>1722.2</v>
      </c>
      <c r="R285" s="1988">
        <f t="shared" si="95"/>
        <v>775.19899999999996</v>
      </c>
      <c r="S285" s="84"/>
      <c r="T285" s="84"/>
      <c r="U285" s="84"/>
      <c r="V285" s="84"/>
      <c r="W285" s="84"/>
      <c r="X285" s="84"/>
    </row>
    <row r="286" spans="1:24" s="83" customFormat="1" ht="13" x14ac:dyDescent="0.3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6" x14ac:dyDescent="0.3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6">N288</f>
        <v>726.66899999999998</v>
      </c>
      <c r="O287" s="1947">
        <f t="shared" si="96"/>
        <v>500</v>
      </c>
      <c r="P287" s="1941">
        <f t="shared" si="96"/>
        <v>600</v>
      </c>
      <c r="Q287" s="1987">
        <f t="shared" si="96"/>
        <v>460</v>
      </c>
      <c r="R287" s="1988">
        <f t="shared" si="96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3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6"/>
        <v>726.66899999999998</v>
      </c>
      <c r="O288" s="1947">
        <f t="shared" si="96"/>
        <v>500</v>
      </c>
      <c r="P288" s="1941">
        <f t="shared" si="96"/>
        <v>600</v>
      </c>
      <c r="Q288" s="1987">
        <f t="shared" si="96"/>
        <v>460</v>
      </c>
      <c r="R288" s="1988">
        <f t="shared" si="96"/>
        <v>520</v>
      </c>
      <c r="S288" s="84"/>
      <c r="T288" s="84"/>
      <c r="U288" s="84"/>
      <c r="V288" s="84"/>
      <c r="W288" s="84"/>
      <c r="X288" s="84"/>
    </row>
    <row r="289" spans="1:256" s="83" customFormat="1" ht="13" x14ac:dyDescent="0.3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9" x14ac:dyDescent="0.25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7">N291</f>
        <v>1224.9099999999999</v>
      </c>
      <c r="O290" s="2014">
        <f t="shared" si="97"/>
        <v>48</v>
      </c>
      <c r="P290" s="2014">
        <f t="shared" si="97"/>
        <v>816.12</v>
      </c>
      <c r="Q290" s="2015">
        <f t="shared" si="97"/>
        <v>4981.808</v>
      </c>
      <c r="R290" s="2016">
        <f>R291+R298</f>
        <v>5143</v>
      </c>
    </row>
    <row r="291" spans="1:256" s="2" customFormat="1" ht="31.15" customHeight="1" x14ac:dyDescent="0.25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7"/>
        <v>48</v>
      </c>
      <c r="P291" s="2018">
        <f t="shared" si="97"/>
        <v>816.12</v>
      </c>
      <c r="Q291" s="2019">
        <f t="shared" si="97"/>
        <v>4981.808</v>
      </c>
      <c r="R291" s="2020">
        <f t="shared" si="97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6" x14ac:dyDescent="0.25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7"/>
        <v>1224.9099999999999</v>
      </c>
      <c r="O292" s="2022">
        <f t="shared" si="97"/>
        <v>48</v>
      </c>
      <c r="P292" s="2023">
        <f t="shared" si="97"/>
        <v>816.12</v>
      </c>
      <c r="Q292" s="2024">
        <f t="shared" si="97"/>
        <v>4981.808</v>
      </c>
      <c r="R292" s="2025">
        <f t="shared" si="97"/>
        <v>3543</v>
      </c>
    </row>
    <row r="293" spans="1:256" ht="13" x14ac:dyDescent="0.25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2" hidden="1" x14ac:dyDescent="0.25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ht="13" x14ac:dyDescent="0.25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6" x14ac:dyDescent="0.25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ht="13" x14ac:dyDescent="0.25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ht="13" x14ac:dyDescent="0.25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5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5" customHeight="1" x14ac:dyDescent="0.25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9" x14ac:dyDescent="0.25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8">L302</f>
        <v>5406.2</v>
      </c>
      <c r="M301" s="1552">
        <f t="shared" si="98"/>
        <v>5230.3</v>
      </c>
      <c r="N301" s="1986">
        <f t="shared" si="98"/>
        <v>3944.683</v>
      </c>
      <c r="O301" s="1947">
        <f t="shared" si="98"/>
        <v>10043.379999999999</v>
      </c>
      <c r="P301" s="1941">
        <f t="shared" si="98"/>
        <v>6288.7259999999997</v>
      </c>
      <c r="Q301" s="1987">
        <f t="shared" si="98"/>
        <v>2500</v>
      </c>
      <c r="R301" s="1988">
        <f t="shared" si="98"/>
        <v>2800</v>
      </c>
    </row>
    <row r="302" spans="1:256" ht="25.15" customHeight="1" x14ac:dyDescent="0.25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ht="13" x14ac:dyDescent="0.3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9" x14ac:dyDescent="0.25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5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49999999999999" hidden="1" customHeight="1" x14ac:dyDescent="0.3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ht="13" x14ac:dyDescent="0.3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9" hidden="1" x14ac:dyDescent="0.25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hidden="1" x14ac:dyDescent="0.3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13" hidden="1" x14ac:dyDescent="0.3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5" x14ac:dyDescent="0.25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9" x14ac:dyDescent="0.25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 x14ac:dyDescent="0.25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 t="shared" ref="O313:R313" si="99">O316</f>
        <v>3268.201</v>
      </c>
      <c r="P313" s="1941">
        <f t="shared" si="99"/>
        <v>3595.0210000000002</v>
      </c>
      <c r="Q313" s="1987">
        <f t="shared" si="99"/>
        <v>3608.5</v>
      </c>
      <c r="R313" s="1988">
        <f t="shared" si="99"/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6" x14ac:dyDescent="0.25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13" x14ac:dyDescent="0.3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13" x14ac:dyDescent="0.25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3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5" customHeight="1" x14ac:dyDescent="0.25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6" x14ac:dyDescent="0.25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100">N320</f>
        <v>8286.6170000000002</v>
      </c>
      <c r="O319" s="1947">
        <f t="shared" si="100"/>
        <v>402.59899999999999</v>
      </c>
      <c r="P319" s="1941">
        <f t="shared" si="100"/>
        <v>442.85899999999998</v>
      </c>
      <c r="Q319" s="1987">
        <f t="shared" si="100"/>
        <v>0</v>
      </c>
      <c r="R319" s="1988">
        <f t="shared" si="100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39" x14ac:dyDescent="0.25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100"/>
        <v>402.59899999999999</v>
      </c>
      <c r="P320" s="1941">
        <f t="shared" si="100"/>
        <v>442.85899999999998</v>
      </c>
      <c r="Q320" s="1987">
        <f t="shared" si="100"/>
        <v>0</v>
      </c>
      <c r="R320" s="1988">
        <f t="shared" si="100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13" x14ac:dyDescent="0.3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52" hidden="1" x14ac:dyDescent="0.25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5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 t="shared" ref="N323:N350" si="101"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6" hidden="1" x14ac:dyDescent="0.25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 t="shared" si="101"/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5" hidden="1" customHeight="1" x14ac:dyDescent="0.25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 t="shared" si="101"/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13" hidden="1" x14ac:dyDescent="0.25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 t="shared" si="101"/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13" hidden="1" x14ac:dyDescent="0.25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 t="shared" si="101"/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13" hidden="1" x14ac:dyDescent="0.25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5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 t="shared" si="101"/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6" hidden="1" x14ac:dyDescent="0.25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 t="shared" si="101"/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9" hidden="1" x14ac:dyDescent="0.25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 t="shared" si="101"/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13" hidden="1" x14ac:dyDescent="0.25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 t="shared" si="101"/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13" hidden="1" x14ac:dyDescent="0.25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13" hidden="1" x14ac:dyDescent="0.25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5" hidden="1" x14ac:dyDescent="0.25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9" hidden="1" x14ac:dyDescent="0.25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4.5" hidden="1" x14ac:dyDescent="0.25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3" hidden="1" x14ac:dyDescent="0.25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3" hidden="1" x14ac:dyDescent="0.25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13" hidden="1" x14ac:dyDescent="0.3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2" x14ac:dyDescent="0.25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9" hidden="1" x14ac:dyDescent="0.25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102">Q343</f>
        <v>0</v>
      </c>
      <c r="R342" s="2041">
        <f t="shared" si="102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4.5" hidden="1" x14ac:dyDescent="0.25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102"/>
        <v>0</v>
      </c>
      <c r="R343" s="2041">
        <f t="shared" si="102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3" hidden="1" x14ac:dyDescent="0.25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102"/>
        <v>0</v>
      </c>
      <c r="R344" s="2041">
        <f t="shared" si="102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3" hidden="1" x14ac:dyDescent="0.25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102"/>
        <v>0</v>
      </c>
      <c r="R345" s="2041">
        <f t="shared" si="102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t="13" hidden="1" x14ac:dyDescent="0.25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6" x14ac:dyDescent="0.25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13" x14ac:dyDescent="0.25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 t="shared" si="101"/>
        <v>7850</v>
      </c>
      <c r="O348" s="1947"/>
      <c r="P348" s="1941"/>
      <c r="Q348" s="2040">
        <f t="shared" ref="Q348:R350" si="103">Q349</f>
        <v>1265</v>
      </c>
      <c r="R348" s="2041">
        <f t="shared" si="103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3" x14ac:dyDescent="0.25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 t="shared" si="101"/>
        <v>7850</v>
      </c>
      <c r="O349" s="1947"/>
      <c r="P349" s="1941"/>
      <c r="Q349" s="2040">
        <f t="shared" si="103"/>
        <v>1265</v>
      </c>
      <c r="R349" s="2041">
        <f t="shared" si="103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3" x14ac:dyDescent="0.25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 t="shared" si="101"/>
        <v>7850</v>
      </c>
      <c r="O350" s="1947"/>
      <c r="P350" s="1941"/>
      <c r="Q350" s="2040">
        <f t="shared" si="103"/>
        <v>1265</v>
      </c>
      <c r="R350" s="2041">
        <f t="shared" si="103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ht="13" x14ac:dyDescent="0.25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t="13" hidden="1" x14ac:dyDescent="0.3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t="13" hidden="1" x14ac:dyDescent="0.3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t="13" hidden="1" x14ac:dyDescent="0.3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5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104">N356</f>
        <v>0</v>
      </c>
      <c r="O355" s="1958">
        <f t="shared" si="104"/>
        <v>3500</v>
      </c>
      <c r="P355" s="1944">
        <f t="shared" si="104"/>
        <v>3500</v>
      </c>
      <c r="Q355" s="1996">
        <f t="shared" si="104"/>
        <v>0</v>
      </c>
      <c r="R355" s="1997">
        <f t="shared" si="104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9" hidden="1" x14ac:dyDescent="0.25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104"/>
        <v>0</v>
      </c>
      <c r="O356" s="2027">
        <f t="shared" si="104"/>
        <v>3500</v>
      </c>
      <c r="P356" s="1950">
        <f t="shared" si="104"/>
        <v>3500</v>
      </c>
      <c r="Q356" s="2028">
        <f t="shared" si="104"/>
        <v>0</v>
      </c>
      <c r="R356" s="2029">
        <f t="shared" si="104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" hidden="1" x14ac:dyDescent="0.25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104"/>
        <v>0</v>
      </c>
      <c r="O357" s="1947">
        <f t="shared" si="104"/>
        <v>3500</v>
      </c>
      <c r="P357" s="1941">
        <f t="shared" si="104"/>
        <v>3500</v>
      </c>
      <c r="Q357" s="1987">
        <f t="shared" si="104"/>
        <v>0</v>
      </c>
      <c r="R357" s="1988">
        <f t="shared" si="104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5" hidden="1" customHeight="1" x14ac:dyDescent="0.3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5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9" hidden="1" x14ac:dyDescent="0.25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5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5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5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" hidden="1" x14ac:dyDescent="0.3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5" x14ac:dyDescent="0.25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" x14ac:dyDescent="0.25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4.5" x14ac:dyDescent="0.25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3" x14ac:dyDescent="0.25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3" x14ac:dyDescent="0.25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13" x14ac:dyDescent="0.25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9" x14ac:dyDescent="0.25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" x14ac:dyDescent="0.25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2" x14ac:dyDescent="0.25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4.5" x14ac:dyDescent="0.25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3" x14ac:dyDescent="0.25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3" x14ac:dyDescent="0.25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13" x14ac:dyDescent="0.3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5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5">L379+L457+L469</f>
        <v>28148.264999999999</v>
      </c>
      <c r="M378" s="1563">
        <f t="shared" si="105"/>
        <v>29104.548000000003</v>
      </c>
      <c r="N378" s="2059">
        <f>36573.761+501.759</f>
        <v>37075.519999999997</v>
      </c>
      <c r="O378" s="2060">
        <f t="shared" si="105"/>
        <v>22421.825000000004</v>
      </c>
      <c r="P378" s="2061">
        <f t="shared" si="105"/>
        <v>23877.43</v>
      </c>
      <c r="Q378" s="2062">
        <f t="shared" si="105"/>
        <v>30018.576999999997</v>
      </c>
      <c r="R378" s="2063">
        <f t="shared" si="105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9" x14ac:dyDescent="0.3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0" x14ac:dyDescent="0.3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6">Q381</f>
        <v>1764.761</v>
      </c>
      <c r="R380" s="2001">
        <f t="shared" si="106"/>
        <v>1832.232</v>
      </c>
      <c r="S380" s="84"/>
      <c r="T380" s="84"/>
      <c r="U380" s="84"/>
      <c r="V380" s="84"/>
      <c r="W380" s="84"/>
      <c r="X380" s="84"/>
    </row>
    <row r="381" spans="1:256" s="83" customFormat="1" ht="13" x14ac:dyDescent="0.3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6"/>
        <v>1764.761</v>
      </c>
      <c r="R381" s="2001">
        <f t="shared" si="106"/>
        <v>1832.232</v>
      </c>
      <c r="S381" s="84"/>
      <c r="T381" s="84"/>
      <c r="U381" s="84"/>
      <c r="V381" s="84"/>
      <c r="W381" s="84"/>
      <c r="X381" s="84"/>
    </row>
    <row r="382" spans="1:256" s="83" customFormat="1" ht="20" x14ac:dyDescent="0.3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6"/>
        <v>1764.761</v>
      </c>
      <c r="R382" s="1992">
        <f t="shared" si="106"/>
        <v>1832.232</v>
      </c>
      <c r="S382" s="84"/>
      <c r="T382" s="84"/>
      <c r="U382" s="84"/>
      <c r="V382" s="84"/>
      <c r="W382" s="84"/>
      <c r="X382" s="84"/>
    </row>
    <row r="383" spans="1:256" s="83" customFormat="1" ht="13" x14ac:dyDescent="0.3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6"/>
        <v>1764.761</v>
      </c>
      <c r="R383" s="2001">
        <f t="shared" si="106"/>
        <v>1832.232</v>
      </c>
      <c r="S383" s="84"/>
      <c r="T383" s="84"/>
      <c r="U383" s="84"/>
      <c r="V383" s="84"/>
      <c r="W383" s="84"/>
      <c r="X383" s="84"/>
    </row>
    <row r="384" spans="1:256" s="83" customFormat="1" ht="20" x14ac:dyDescent="0.3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9" x14ac:dyDescent="0.3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ht="13" x14ac:dyDescent="0.3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ht="13" x14ac:dyDescent="0.3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3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5" customHeight="1" x14ac:dyDescent="0.3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5" hidden="1" customHeight="1" x14ac:dyDescent="0.3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5" customHeight="1" x14ac:dyDescent="0.3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5" customHeight="1" x14ac:dyDescent="0.3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7">L394+L398</f>
        <v>3255.4169999999999</v>
      </c>
      <c r="M392" s="1555">
        <f t="shared" si="107"/>
        <v>3483.2959999999998</v>
      </c>
      <c r="N392" s="1998">
        <f t="shared" si="107"/>
        <v>4025.9430000000002</v>
      </c>
      <c r="O392" s="1999">
        <f t="shared" si="107"/>
        <v>5795.75</v>
      </c>
      <c r="P392" s="1937">
        <f t="shared" si="107"/>
        <v>5588.9679999999998</v>
      </c>
      <c r="Q392" s="2000">
        <f t="shared" si="107"/>
        <v>2950.0419999999999</v>
      </c>
      <c r="R392" s="2001">
        <f t="shared" si="107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3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3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3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3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3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3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5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3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5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3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5" customHeight="1" x14ac:dyDescent="0.3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3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3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3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9" x14ac:dyDescent="0.3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8">N408</f>
        <v>50.6</v>
      </c>
      <c r="O407" s="1994">
        <f t="shared" si="108"/>
        <v>0</v>
      </c>
      <c r="P407" s="1939">
        <f t="shared" si="108"/>
        <v>0</v>
      </c>
      <c r="Q407" s="1995">
        <f t="shared" si="108"/>
        <v>0</v>
      </c>
      <c r="R407" s="1985">
        <f t="shared" si="108"/>
        <v>0</v>
      </c>
    </row>
    <row r="408" spans="1:256" ht="13" x14ac:dyDescent="0.3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8"/>
        <v>50.6</v>
      </c>
      <c r="O408" s="1947">
        <f t="shared" si="108"/>
        <v>0</v>
      </c>
      <c r="P408" s="1941">
        <f t="shared" si="108"/>
        <v>0</v>
      </c>
      <c r="Q408" s="1987">
        <f t="shared" si="108"/>
        <v>0</v>
      </c>
      <c r="R408" s="1988">
        <f t="shared" si="108"/>
        <v>0</v>
      </c>
    </row>
    <row r="409" spans="1:256" s="2" customFormat="1" ht="39" x14ac:dyDescent="0.3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9" x14ac:dyDescent="0.25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9">N411</f>
        <v>307.5</v>
      </c>
      <c r="O410" s="1994">
        <f t="shared" si="109"/>
        <v>0</v>
      </c>
      <c r="P410" s="1939">
        <f t="shared" si="109"/>
        <v>0</v>
      </c>
      <c r="Q410" s="1995">
        <f t="shared" si="109"/>
        <v>0</v>
      </c>
      <c r="R410" s="1985">
        <f t="shared" si="109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13" x14ac:dyDescent="0.25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9"/>
        <v>307.5</v>
      </c>
      <c r="O411" s="1947">
        <f t="shared" si="109"/>
        <v>0</v>
      </c>
      <c r="P411" s="1941">
        <f t="shared" si="109"/>
        <v>0</v>
      </c>
      <c r="Q411" s="1987">
        <f t="shared" si="109"/>
        <v>0</v>
      </c>
      <c r="R411" s="1988">
        <f t="shared" si="109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" x14ac:dyDescent="0.3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" hidden="1" x14ac:dyDescent="0.3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5" hidden="1" x14ac:dyDescent="0.25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10">N416</f>
        <v>0</v>
      </c>
      <c r="O415" s="1994">
        <f t="shared" si="110"/>
        <v>0</v>
      </c>
      <c r="P415" s="1939">
        <f t="shared" si="110"/>
        <v>0</v>
      </c>
      <c r="Q415" s="1995">
        <f t="shared" si="110"/>
        <v>0</v>
      </c>
      <c r="R415" s="1985">
        <f t="shared" si="110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13" hidden="1" x14ac:dyDescent="0.25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10"/>
        <v>0</v>
      </c>
      <c r="O416" s="1947">
        <f t="shared" si="110"/>
        <v>0</v>
      </c>
      <c r="P416" s="1941">
        <f t="shared" si="110"/>
        <v>0</v>
      </c>
      <c r="Q416" s="1987">
        <f t="shared" si="110"/>
        <v>0</v>
      </c>
      <c r="R416" s="1988">
        <f t="shared" si="110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9" hidden="1" x14ac:dyDescent="0.3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2" hidden="1" x14ac:dyDescent="0.25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11">N419</f>
        <v>0</v>
      </c>
      <c r="O418" s="1994">
        <f t="shared" si="111"/>
        <v>0</v>
      </c>
      <c r="P418" s="1939">
        <f t="shared" si="111"/>
        <v>0</v>
      </c>
      <c r="Q418" s="1995">
        <f t="shared" si="111"/>
        <v>0</v>
      </c>
      <c r="R418" s="1985">
        <f t="shared" si="111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5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11"/>
        <v>0</v>
      </c>
      <c r="O419" s="1947">
        <f t="shared" si="111"/>
        <v>0</v>
      </c>
      <c r="P419" s="1941">
        <f t="shared" si="111"/>
        <v>0</v>
      </c>
      <c r="Q419" s="1987">
        <f t="shared" si="111"/>
        <v>0</v>
      </c>
      <c r="R419" s="1988">
        <f t="shared" si="111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9" hidden="1" x14ac:dyDescent="0.25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11"/>
        <v>0</v>
      </c>
      <c r="O420" s="1999">
        <f t="shared" si="111"/>
        <v>0</v>
      </c>
      <c r="P420" s="1937">
        <f t="shared" si="111"/>
        <v>0</v>
      </c>
      <c r="Q420" s="2000">
        <f t="shared" si="111"/>
        <v>0</v>
      </c>
      <c r="R420" s="2001">
        <f t="shared" si="111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13" hidden="1" x14ac:dyDescent="0.3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11"/>
        <v>0</v>
      </c>
      <c r="O421" s="1999">
        <f t="shared" si="111"/>
        <v>0</v>
      </c>
      <c r="P421" s="1937">
        <f t="shared" si="111"/>
        <v>0</v>
      </c>
      <c r="Q421" s="2000">
        <f t="shared" si="111"/>
        <v>0</v>
      </c>
      <c r="R421" s="2001">
        <f t="shared" si="111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9" hidden="1" x14ac:dyDescent="0.3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5" hidden="1" x14ac:dyDescent="0.25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12">L424</f>
        <v>171.8</v>
      </c>
      <c r="M423" s="1552">
        <f t="shared" si="112"/>
        <v>171.8</v>
      </c>
      <c r="N423" s="1982">
        <f t="shared" si="112"/>
        <v>0</v>
      </c>
      <c r="O423" s="1994">
        <f t="shared" si="112"/>
        <v>0</v>
      </c>
      <c r="P423" s="1939">
        <f t="shared" si="112"/>
        <v>0</v>
      </c>
      <c r="Q423" s="1995">
        <f t="shared" si="112"/>
        <v>0</v>
      </c>
      <c r="R423" s="1985">
        <f t="shared" si="112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13" hidden="1" x14ac:dyDescent="0.3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9" hidden="1" x14ac:dyDescent="0.3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650000000000006" hidden="1" customHeight="1" x14ac:dyDescent="0.25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13">L428</f>
        <v>263</v>
      </c>
      <c r="M426" s="1552">
        <f t="shared" si="113"/>
        <v>263</v>
      </c>
      <c r="N426" s="1982">
        <f t="shared" si="113"/>
        <v>0</v>
      </c>
      <c r="O426" s="1994">
        <f t="shared" si="113"/>
        <v>0</v>
      </c>
      <c r="P426" s="1939">
        <f t="shared" si="113"/>
        <v>0</v>
      </c>
      <c r="Q426" s="1995">
        <f t="shared" si="113"/>
        <v>0</v>
      </c>
      <c r="R426" s="1985">
        <f t="shared" si="113"/>
        <v>0</v>
      </c>
    </row>
    <row r="427" spans="1:256" ht="18" hidden="1" customHeight="1" x14ac:dyDescent="0.25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3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3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5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14">L431</f>
        <v>130.1</v>
      </c>
      <c r="M430" s="1555">
        <f t="shared" si="114"/>
        <v>130.1</v>
      </c>
      <c r="N430" s="1989">
        <f t="shared" si="114"/>
        <v>0</v>
      </c>
      <c r="O430" s="1990">
        <f t="shared" si="114"/>
        <v>0</v>
      </c>
      <c r="P430" s="1934">
        <f t="shared" si="114"/>
        <v>0</v>
      </c>
      <c r="Q430" s="1991">
        <f t="shared" si="114"/>
        <v>0</v>
      </c>
      <c r="R430" s="1992">
        <f t="shared" si="114"/>
        <v>0</v>
      </c>
    </row>
    <row r="431" spans="1:256" ht="15" hidden="1" customHeight="1" x14ac:dyDescent="0.3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5" hidden="1" customHeight="1" x14ac:dyDescent="0.25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3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3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ht="13" x14ac:dyDescent="0.25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6" x14ac:dyDescent="0.3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2" x14ac:dyDescent="0.25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5">L438+L440</f>
        <v>546.70000000000005</v>
      </c>
      <c r="M437" s="1555">
        <f t="shared" si="115"/>
        <v>546.70000000000005</v>
      </c>
      <c r="N437" s="2068">
        <f t="shared" si="115"/>
        <v>7.04</v>
      </c>
      <c r="O437" s="2069">
        <f t="shared" si="115"/>
        <v>37.200000000000003</v>
      </c>
      <c r="P437" s="2070">
        <f t="shared" si="115"/>
        <v>37.200000000000003</v>
      </c>
      <c r="Q437" s="2071">
        <f t="shared" si="115"/>
        <v>7.1</v>
      </c>
      <c r="R437" s="2072">
        <f t="shared" si="115"/>
        <v>7.1</v>
      </c>
      <c r="S437" s="830">
        <v>-648.9</v>
      </c>
      <c r="T437" s="830">
        <v>-648.9</v>
      </c>
      <c r="U437" s="830">
        <v>-648.9</v>
      </c>
    </row>
    <row r="438" spans="1:256" ht="13" hidden="1" x14ac:dyDescent="0.3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5" hidden="1" customHeight="1" x14ac:dyDescent="0.25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6" x14ac:dyDescent="0.25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9" x14ac:dyDescent="0.25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5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6">L443</f>
        <v>99.305000000000007</v>
      </c>
      <c r="M442" s="1552">
        <f t="shared" si="116"/>
        <v>99.305000000000007</v>
      </c>
      <c r="N442" s="1982">
        <f t="shared" si="116"/>
        <v>0</v>
      </c>
      <c r="O442" s="1994">
        <f t="shared" si="116"/>
        <v>0</v>
      </c>
      <c r="P442" s="1939">
        <f t="shared" si="116"/>
        <v>0</v>
      </c>
      <c r="Q442" s="1995">
        <f t="shared" si="116"/>
        <v>0</v>
      </c>
      <c r="R442" s="1985">
        <f t="shared" si="116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9" hidden="1" x14ac:dyDescent="0.25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6"/>
        <v>99.305000000000007</v>
      </c>
      <c r="M443" s="1552">
        <f t="shared" si="116"/>
        <v>99.305000000000007</v>
      </c>
      <c r="N443" s="1982">
        <f t="shared" si="116"/>
        <v>0</v>
      </c>
      <c r="O443" s="1994">
        <f t="shared" si="116"/>
        <v>0</v>
      </c>
      <c r="P443" s="1939">
        <f t="shared" si="116"/>
        <v>0</v>
      </c>
      <c r="Q443" s="1995">
        <f t="shared" si="116"/>
        <v>0</v>
      </c>
      <c r="R443" s="1985">
        <f t="shared" si="116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5" hidden="1" customHeight="1" x14ac:dyDescent="0.25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6"/>
        <v>99.305000000000007</v>
      </c>
      <c r="M444" s="1556">
        <f t="shared" si="116"/>
        <v>99.305000000000007</v>
      </c>
      <c r="N444" s="1998">
        <f t="shared" si="116"/>
        <v>0</v>
      </c>
      <c r="O444" s="1999">
        <f t="shared" si="116"/>
        <v>0</v>
      </c>
      <c r="P444" s="1937">
        <f t="shared" si="116"/>
        <v>0</v>
      </c>
      <c r="Q444" s="2000">
        <f t="shared" si="116"/>
        <v>0</v>
      </c>
      <c r="R444" s="2001">
        <f t="shared" si="116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3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6"/>
        <v>0</v>
      </c>
      <c r="O445" s="1999">
        <f t="shared" si="116"/>
        <v>0</v>
      </c>
      <c r="P445" s="1937">
        <f t="shared" si="116"/>
        <v>0</v>
      </c>
      <c r="Q445" s="2000">
        <f t="shared" si="116"/>
        <v>0</v>
      </c>
      <c r="R445" s="2001">
        <f t="shared" si="116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3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5" hidden="1" customHeight="1" x14ac:dyDescent="0.25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7">O448</f>
        <v>659.56200000000001</v>
      </c>
      <c r="P447" s="1937">
        <f t="shared" si="117"/>
        <v>725.51900000000001</v>
      </c>
      <c r="Q447" s="2000">
        <f t="shared" si="117"/>
        <v>0</v>
      </c>
      <c r="R447" s="2001">
        <f t="shared" si="117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5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7"/>
        <v>659.56200000000001</v>
      </c>
      <c r="P448" s="1937">
        <f t="shared" si="117"/>
        <v>725.51900000000001</v>
      </c>
      <c r="Q448" s="2000">
        <f t="shared" si="117"/>
        <v>0</v>
      </c>
      <c r="R448" s="2001">
        <f t="shared" si="117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5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7"/>
        <v>659.56200000000001</v>
      </c>
      <c r="P449" s="1937">
        <f t="shared" si="117"/>
        <v>725.51900000000001</v>
      </c>
      <c r="Q449" s="2000">
        <f t="shared" si="117"/>
        <v>0</v>
      </c>
      <c r="R449" s="2001">
        <f t="shared" si="117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3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7"/>
        <v>659.56200000000001</v>
      </c>
      <c r="P450" s="1937">
        <f t="shared" si="117"/>
        <v>725.51900000000001</v>
      </c>
      <c r="Q450" s="2000">
        <f t="shared" si="117"/>
        <v>0</v>
      </c>
      <c r="R450" s="2001">
        <f t="shared" si="117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3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2" x14ac:dyDescent="0.25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8">N453</f>
        <v>1512.6</v>
      </c>
      <c r="O452" s="1994">
        <f t="shared" si="118"/>
        <v>1627.663</v>
      </c>
      <c r="P452" s="1939">
        <f t="shared" si="118"/>
        <v>1782.7329999999999</v>
      </c>
      <c r="Q452" s="1995">
        <f t="shared" si="118"/>
        <v>1573.104</v>
      </c>
      <c r="R452" s="1985">
        <f t="shared" si="118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5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8"/>
        <v>1512.6</v>
      </c>
      <c r="O453" s="1947">
        <f t="shared" si="118"/>
        <v>1627.663</v>
      </c>
      <c r="P453" s="1941">
        <f t="shared" si="118"/>
        <v>1782.7329999999999</v>
      </c>
      <c r="Q453" s="1987">
        <f t="shared" si="118"/>
        <v>1573.104</v>
      </c>
      <c r="R453" s="1988">
        <f t="shared" si="118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9" x14ac:dyDescent="0.25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8"/>
        <v>1512.6</v>
      </c>
      <c r="O454" s="1999">
        <f t="shared" si="118"/>
        <v>1627.663</v>
      </c>
      <c r="P454" s="1937">
        <f t="shared" si="118"/>
        <v>1782.7329999999999</v>
      </c>
      <c r="Q454" s="2000">
        <f t="shared" si="118"/>
        <v>1573.104</v>
      </c>
      <c r="R454" s="2001">
        <f t="shared" si="118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13" x14ac:dyDescent="0.3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8"/>
        <v>1512.6</v>
      </c>
      <c r="O455" s="1999">
        <f t="shared" si="118"/>
        <v>1627.663</v>
      </c>
      <c r="P455" s="1937">
        <f t="shared" si="118"/>
        <v>1782.7329999999999</v>
      </c>
      <c r="Q455" s="2000">
        <f t="shared" si="118"/>
        <v>1573.104</v>
      </c>
      <c r="R455" s="2001">
        <f t="shared" si="118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9" x14ac:dyDescent="0.3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6" x14ac:dyDescent="0.25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9">N458</f>
        <v>1314.0283400000001</v>
      </c>
      <c r="O457" s="1994">
        <f t="shared" si="119"/>
        <v>213.5</v>
      </c>
      <c r="P457" s="1939">
        <f t="shared" si="119"/>
        <v>213.5</v>
      </c>
      <c r="Q457" s="1995">
        <f t="shared" si="119"/>
        <v>500</v>
      </c>
      <c r="R457" s="1985">
        <f t="shared" si="119"/>
        <v>600</v>
      </c>
    </row>
    <row r="458" spans="1:256" ht="13" x14ac:dyDescent="0.25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9"/>
        <v>1314.0283400000001</v>
      </c>
      <c r="O458" s="1947">
        <f t="shared" si="119"/>
        <v>213.5</v>
      </c>
      <c r="P458" s="1941">
        <f t="shared" si="119"/>
        <v>213.5</v>
      </c>
      <c r="Q458" s="1987">
        <f t="shared" si="119"/>
        <v>500</v>
      </c>
      <c r="R458" s="1988">
        <f t="shared" si="119"/>
        <v>600</v>
      </c>
    </row>
    <row r="459" spans="1:256" ht="13" x14ac:dyDescent="0.25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ht="13" x14ac:dyDescent="0.25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20">O461</f>
        <v>178.5</v>
      </c>
      <c r="P460" s="1941">
        <f t="shared" si="120"/>
        <v>178.5</v>
      </c>
      <c r="Q460" s="1987">
        <f>Q461+Q467</f>
        <v>500</v>
      </c>
      <c r="R460" s="1988">
        <f>R461+R467</f>
        <v>600</v>
      </c>
    </row>
    <row r="461" spans="1:256" ht="26" x14ac:dyDescent="0.25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20"/>
        <v>997.26534000000015</v>
      </c>
      <c r="O461" s="1947">
        <f t="shared" si="120"/>
        <v>178.5</v>
      </c>
      <c r="P461" s="1941">
        <f t="shared" si="120"/>
        <v>178.5</v>
      </c>
      <c r="Q461" s="1987">
        <f t="shared" si="120"/>
        <v>400</v>
      </c>
      <c r="R461" s="1988">
        <f t="shared" si="120"/>
        <v>500</v>
      </c>
    </row>
    <row r="462" spans="1:256" ht="13" x14ac:dyDescent="0.25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t="13" hidden="1" x14ac:dyDescent="0.25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t="13" hidden="1" x14ac:dyDescent="0.25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ht="13" x14ac:dyDescent="0.25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ht="13" x14ac:dyDescent="0.25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ht="13" x14ac:dyDescent="0.3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ht="13" x14ac:dyDescent="0.25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9" x14ac:dyDescent="0.3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6" hidden="1" x14ac:dyDescent="0.3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6" hidden="1" x14ac:dyDescent="0.3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t="13" hidden="1" x14ac:dyDescent="0.3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ht="13" x14ac:dyDescent="0.3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ht="13" x14ac:dyDescent="0.3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ht="13" x14ac:dyDescent="0.3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21">N476</f>
        <v>710.16499999999996</v>
      </c>
      <c r="O475" s="1990">
        <f t="shared" si="121"/>
        <v>531.38</v>
      </c>
      <c r="P475" s="1934">
        <f t="shared" si="121"/>
        <v>584.51300000000003</v>
      </c>
      <c r="Q475" s="1991">
        <f t="shared" si="121"/>
        <v>639.61699999999996</v>
      </c>
      <c r="R475" s="1992">
        <f t="shared" si="121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5" customHeight="1" x14ac:dyDescent="0.3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21"/>
        <v>710.16499999999996</v>
      </c>
      <c r="O476" s="1947">
        <f t="shared" si="121"/>
        <v>531.38</v>
      </c>
      <c r="P476" s="1941">
        <f t="shared" si="121"/>
        <v>584.51300000000003</v>
      </c>
      <c r="Q476" s="1987">
        <f t="shared" si="121"/>
        <v>639.61699999999996</v>
      </c>
      <c r="R476" s="1988">
        <f t="shared" si="121"/>
        <v>665.20100000000002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1" x14ac:dyDescent="0.3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1" x14ac:dyDescent="0.3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ht="13" x14ac:dyDescent="0.3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5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22">L482</f>
        <v>2000</v>
      </c>
      <c r="M481" s="1550">
        <f t="shared" si="122"/>
        <v>2000</v>
      </c>
      <c r="N481" s="1982">
        <f t="shared" si="122"/>
        <v>2000</v>
      </c>
      <c r="O481" s="1994">
        <f t="shared" si="122"/>
        <v>2500.6</v>
      </c>
      <c r="P481" s="1939">
        <f t="shared" si="122"/>
        <v>2701.74</v>
      </c>
      <c r="Q481" s="1995">
        <f t="shared" si="122"/>
        <v>2900</v>
      </c>
      <c r="R481" s="1985">
        <f t="shared" si="122"/>
        <v>2980</v>
      </c>
    </row>
    <row r="482" spans="1:24" ht="13" x14ac:dyDescent="0.3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ht="13" x14ac:dyDescent="0.3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9" hidden="1" x14ac:dyDescent="0.25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6" hidden="1" x14ac:dyDescent="0.25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t="13" hidden="1" x14ac:dyDescent="0.25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6" hidden="1" x14ac:dyDescent="0.25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t="13" hidden="1" x14ac:dyDescent="0.25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t="13" hidden="1" x14ac:dyDescent="0.3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6" hidden="1" x14ac:dyDescent="0.25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6" hidden="1" x14ac:dyDescent="0.3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t="13" hidden="1" x14ac:dyDescent="0.3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t="13" hidden="1" x14ac:dyDescent="0.3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23">L494</f>
        <v>0</v>
      </c>
      <c r="M493" s="1552">
        <f t="shared" si="123"/>
        <v>0</v>
      </c>
      <c r="N493" s="1982">
        <f t="shared" si="123"/>
        <v>0</v>
      </c>
      <c r="O493" s="1994">
        <f t="shared" si="123"/>
        <v>0</v>
      </c>
      <c r="P493" s="1939">
        <f t="shared" si="123"/>
        <v>0</v>
      </c>
      <c r="Q493" s="1995">
        <f t="shared" si="123"/>
        <v>0</v>
      </c>
      <c r="R493" s="1985">
        <f t="shared" si="123"/>
        <v>0</v>
      </c>
      <c r="S493" s="84"/>
      <c r="T493" s="84"/>
      <c r="U493" s="84"/>
      <c r="V493" s="84"/>
      <c r="W493" s="84"/>
      <c r="X493" s="84"/>
    </row>
    <row r="494" spans="1:24" s="83" customFormat="1" ht="26" hidden="1" x14ac:dyDescent="0.3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t="13" hidden="1" x14ac:dyDescent="0.3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t="13" hidden="1" x14ac:dyDescent="0.3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24">L497</f>
        <v>64.8</v>
      </c>
      <c r="M496" s="1552">
        <f t="shared" si="124"/>
        <v>64.8</v>
      </c>
      <c r="N496" s="1982">
        <f t="shared" si="124"/>
        <v>0</v>
      </c>
      <c r="O496" s="1994">
        <f t="shared" si="124"/>
        <v>0</v>
      </c>
      <c r="P496" s="1939">
        <f t="shared" si="124"/>
        <v>0</v>
      </c>
      <c r="Q496" s="1995">
        <f t="shared" si="124"/>
        <v>0</v>
      </c>
      <c r="R496" s="1985">
        <f t="shared" si="124"/>
        <v>0</v>
      </c>
      <c r="S496" s="84"/>
      <c r="T496" s="84"/>
      <c r="U496" s="84"/>
      <c r="V496" s="84"/>
      <c r="W496" s="84"/>
      <c r="X496" s="84"/>
    </row>
    <row r="497" spans="1:24" s="83" customFormat="1" ht="26" hidden="1" x14ac:dyDescent="0.3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t="13" hidden="1" x14ac:dyDescent="0.3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ht="13" x14ac:dyDescent="0.3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ht="13" x14ac:dyDescent="0.3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ht="13" x14ac:dyDescent="0.3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ht="13" x14ac:dyDescent="0.3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ht="13" x14ac:dyDescent="0.3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ht="13" x14ac:dyDescent="0.3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9" hidden="1" x14ac:dyDescent="0.3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t="13" hidden="1" x14ac:dyDescent="0.3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t="13" hidden="1" x14ac:dyDescent="0.3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ht="13" x14ac:dyDescent="0.3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5">L509</f>
        <v>0</v>
      </c>
      <c r="M508" s="1552">
        <f t="shared" si="125"/>
        <v>0</v>
      </c>
      <c r="N508" s="1982">
        <f t="shared" si="125"/>
        <v>967.12800000000004</v>
      </c>
      <c r="O508" s="1994">
        <f t="shared" si="125"/>
        <v>0</v>
      </c>
      <c r="P508" s="1939">
        <f t="shared" si="125"/>
        <v>0</v>
      </c>
      <c r="Q508" s="1995">
        <f t="shared" si="125"/>
        <v>504</v>
      </c>
      <c r="R508" s="1985">
        <f t="shared" si="125"/>
        <v>304</v>
      </c>
      <c r="S508" s="84"/>
      <c r="T508" s="84"/>
      <c r="U508" s="84"/>
      <c r="V508" s="84"/>
      <c r="W508" s="84"/>
      <c r="X508" s="84"/>
    </row>
    <row r="509" spans="1:24" s="83" customFormat="1" ht="13" x14ac:dyDescent="0.3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ht="13" x14ac:dyDescent="0.3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9" hidden="1" x14ac:dyDescent="0.3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6">L512</f>
        <v>85</v>
      </c>
      <c r="M511" s="1553">
        <f t="shared" si="126"/>
        <v>85</v>
      </c>
      <c r="N511" s="1982">
        <f t="shared" si="126"/>
        <v>50</v>
      </c>
      <c r="O511" s="1958">
        <f t="shared" si="126"/>
        <v>0</v>
      </c>
      <c r="P511" s="1944">
        <f t="shared" si="126"/>
        <v>0</v>
      </c>
      <c r="Q511" s="1996">
        <f t="shared" si="126"/>
        <v>0</v>
      </c>
      <c r="R511" s="1997">
        <f t="shared" si="126"/>
        <v>0</v>
      </c>
      <c r="S511" s="84"/>
      <c r="T511" s="84"/>
      <c r="U511" s="84"/>
      <c r="V511" s="84"/>
      <c r="W511" s="84"/>
      <c r="X511" s="84"/>
    </row>
    <row r="512" spans="1:24" s="83" customFormat="1" ht="26" x14ac:dyDescent="0.3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7">L515</f>
        <v>85</v>
      </c>
      <c r="M512" s="1553">
        <f t="shared" si="127"/>
        <v>85</v>
      </c>
      <c r="N512" s="1982">
        <f>N515</f>
        <v>50</v>
      </c>
      <c r="O512" s="1958">
        <f t="shared" si="127"/>
        <v>0</v>
      </c>
      <c r="P512" s="1944">
        <f t="shared" si="127"/>
        <v>0</v>
      </c>
      <c r="Q512" s="1996">
        <f t="shared" si="127"/>
        <v>0</v>
      </c>
      <c r="R512" s="1997">
        <f t="shared" si="127"/>
        <v>0</v>
      </c>
      <c r="S512" s="84"/>
      <c r="T512" s="84"/>
      <c r="U512" s="84"/>
      <c r="V512" s="84"/>
      <c r="W512" s="84"/>
      <c r="X512" s="84"/>
    </row>
    <row r="513" spans="1:24" s="83" customFormat="1" ht="26.5" hidden="1" customHeight="1" x14ac:dyDescent="0.3">
      <c r="A513" s="85"/>
      <c r="B513" s="42"/>
      <c r="C513" s="31"/>
      <c r="D513" s="31"/>
      <c r="E513" s="31"/>
      <c r="F513" s="31"/>
      <c r="G513" s="2713"/>
      <c r="H513" s="2714"/>
      <c r="I513" s="2714"/>
      <c r="J513" s="2715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5" hidden="1" customHeight="1" x14ac:dyDescent="0.25">
      <c r="A514" s="32"/>
      <c r="B514" s="42"/>
      <c r="C514" s="31"/>
      <c r="D514" s="31"/>
      <c r="E514" s="31"/>
      <c r="F514" s="31"/>
      <c r="G514" s="2713"/>
      <c r="H514" s="2714"/>
      <c r="I514" s="2714"/>
      <c r="J514" s="2715"/>
      <c r="K514" s="41"/>
      <c r="L514" s="2"/>
      <c r="M514" s="2"/>
      <c r="N514" s="2090"/>
      <c r="O514" s="2082"/>
      <c r="P514" s="2082"/>
      <c r="Q514" s="2091"/>
      <c r="R514" s="2092"/>
    </row>
    <row r="515" spans="1:24" ht="13" x14ac:dyDescent="0.3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3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5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3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3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2" x14ac:dyDescent="0.3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9" x14ac:dyDescent="0.3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ht="13" x14ac:dyDescent="0.3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3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ht="13" x14ac:dyDescent="0.3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ht="13" x14ac:dyDescent="0.3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t="13" hidden="1" x14ac:dyDescent="0.25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8">J527</f>
        <v>153.32</v>
      </c>
      <c r="K526" s="1063">
        <f t="shared" si="128"/>
        <v>172</v>
      </c>
      <c r="L526" s="1063">
        <f t="shared" si="128"/>
        <v>172</v>
      </c>
      <c r="M526" s="1125">
        <f t="shared" si="128"/>
        <v>172</v>
      </c>
      <c r="N526" s="1986">
        <f t="shared" si="128"/>
        <v>0</v>
      </c>
      <c r="O526" s="1947">
        <f t="shared" si="128"/>
        <v>554.52</v>
      </c>
      <c r="P526" s="1941">
        <f t="shared" si="128"/>
        <v>576.45699999999999</v>
      </c>
      <c r="Q526" s="1987">
        <f t="shared" si="128"/>
        <v>0</v>
      </c>
      <c r="R526" s="1988">
        <f t="shared" si="128"/>
        <v>0</v>
      </c>
    </row>
    <row r="527" spans="1:24" ht="39" hidden="1" x14ac:dyDescent="0.25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" hidden="1" x14ac:dyDescent="0.25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9">N529</f>
        <v>0</v>
      </c>
      <c r="O528" s="1994">
        <f t="shared" si="129"/>
        <v>0</v>
      </c>
      <c r="P528" s="1939">
        <f t="shared" si="129"/>
        <v>0</v>
      </c>
      <c r="Q528" s="1995">
        <f t="shared" si="129"/>
        <v>0</v>
      </c>
      <c r="R528" s="1985">
        <f t="shared" si="129"/>
        <v>0</v>
      </c>
    </row>
    <row r="529" spans="1:256" ht="25.5" hidden="1" thickBot="1" x14ac:dyDescent="0.3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9"/>
        <v>0</v>
      </c>
      <c r="O529" s="1947">
        <f t="shared" si="129"/>
        <v>0</v>
      </c>
      <c r="P529" s="1941">
        <f t="shared" si="129"/>
        <v>0</v>
      </c>
      <c r="Q529" s="1987">
        <f t="shared" si="129"/>
        <v>0</v>
      </c>
      <c r="R529" s="1988">
        <f t="shared" si="129"/>
        <v>0</v>
      </c>
    </row>
    <row r="530" spans="1:256" ht="13" hidden="1" x14ac:dyDescent="0.3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6" hidden="1" x14ac:dyDescent="0.25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30">N532</f>
        <v>0</v>
      </c>
      <c r="O531" s="1964">
        <f t="shared" si="130"/>
        <v>0</v>
      </c>
      <c r="P531" s="1963">
        <f t="shared" si="130"/>
        <v>0</v>
      </c>
      <c r="Q531" s="1987">
        <f t="shared" si="130"/>
        <v>0</v>
      </c>
      <c r="R531" s="1988">
        <f t="shared" si="130"/>
        <v>0</v>
      </c>
    </row>
    <row r="532" spans="1:256" ht="26" hidden="1" x14ac:dyDescent="0.25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30"/>
        <v>0</v>
      </c>
      <c r="O532" s="1964">
        <f t="shared" si="130"/>
        <v>0</v>
      </c>
      <c r="P532" s="1963">
        <f t="shared" si="130"/>
        <v>0</v>
      </c>
      <c r="Q532" s="1987">
        <f t="shared" si="130"/>
        <v>0</v>
      </c>
      <c r="R532" s="1988">
        <f t="shared" si="130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t="13" hidden="1" x14ac:dyDescent="0.25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9" hidden="1" x14ac:dyDescent="0.25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31">N535</f>
        <v>0</v>
      </c>
      <c r="O534" s="1964">
        <f t="shared" si="131"/>
        <v>0</v>
      </c>
      <c r="P534" s="1963">
        <f t="shared" si="131"/>
        <v>0</v>
      </c>
      <c r="Q534" s="1987">
        <f t="shared" si="131"/>
        <v>0</v>
      </c>
      <c r="R534" s="1988">
        <f t="shared" si="131"/>
        <v>0</v>
      </c>
    </row>
    <row r="535" spans="1:256" s="2" customFormat="1" ht="26" hidden="1" x14ac:dyDescent="0.25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31"/>
        <v>0</v>
      </c>
      <c r="O535" s="1964">
        <f t="shared" si="131"/>
        <v>0</v>
      </c>
      <c r="P535" s="1963">
        <f t="shared" si="131"/>
        <v>0</v>
      </c>
      <c r="Q535" s="1987">
        <f t="shared" si="131"/>
        <v>0</v>
      </c>
      <c r="R535" s="1988">
        <f t="shared" si="131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t="13" hidden="1" x14ac:dyDescent="0.25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6" hidden="1" x14ac:dyDescent="0.25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13" hidden="1" x14ac:dyDescent="0.3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13" hidden="1" x14ac:dyDescent="0.25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6" hidden="1" x14ac:dyDescent="0.25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32">L541</f>
        <v>0</v>
      </c>
      <c r="M540" s="1570">
        <f t="shared" si="132"/>
        <v>0</v>
      </c>
      <c r="N540" s="2104">
        <f t="shared" si="132"/>
        <v>0</v>
      </c>
      <c r="O540" s="2105">
        <f t="shared" si="132"/>
        <v>0</v>
      </c>
      <c r="P540" s="2105">
        <f t="shared" si="132"/>
        <v>0</v>
      </c>
      <c r="Q540" s="2106">
        <f t="shared" si="132"/>
        <v>0</v>
      </c>
      <c r="R540" s="2107">
        <f t="shared" si="132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6" hidden="1" x14ac:dyDescent="0.25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13" hidden="1" x14ac:dyDescent="0.3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5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5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5" hidden="1" customHeight="1" x14ac:dyDescent="0.3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5" hidden="1" customHeight="1" x14ac:dyDescent="0.25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33">L547</f>
        <v>85</v>
      </c>
      <c r="M546" s="1553">
        <f t="shared" si="133"/>
        <v>85</v>
      </c>
      <c r="N546" s="1982">
        <f t="shared" si="133"/>
        <v>0</v>
      </c>
      <c r="O546" s="1958">
        <f t="shared" si="133"/>
        <v>0</v>
      </c>
      <c r="P546" s="1944">
        <f t="shared" si="133"/>
        <v>0</v>
      </c>
      <c r="Q546" s="1996">
        <f t="shared" si="133"/>
        <v>0</v>
      </c>
      <c r="R546" s="1997">
        <f t="shared" si="133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5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34">L550</f>
        <v>85</v>
      </c>
      <c r="M547" s="209">
        <f t="shared" si="134"/>
        <v>85</v>
      </c>
      <c r="N547" s="1986">
        <f t="shared" si="134"/>
        <v>0</v>
      </c>
      <c r="O547" s="2027">
        <f t="shared" si="134"/>
        <v>0</v>
      </c>
      <c r="P547" s="1950">
        <f t="shared" si="134"/>
        <v>0</v>
      </c>
      <c r="Q547" s="2028">
        <f t="shared" si="134"/>
        <v>0</v>
      </c>
      <c r="R547" s="2029">
        <f t="shared" si="134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5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2713" t="s">
        <v>20</v>
      </c>
      <c r="H548" s="2714"/>
      <c r="I548" s="2714"/>
      <c r="J548" s="2715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5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2713" t="s">
        <v>17</v>
      </c>
      <c r="H549" s="2714"/>
      <c r="I549" s="2714"/>
      <c r="J549" s="2715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3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5" hidden="1" customHeight="1" x14ac:dyDescent="0.3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3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3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2" hidden="1" x14ac:dyDescent="0.3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3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3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3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3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3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3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3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5" customHeight="1" x14ac:dyDescent="0.3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3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3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5" customHeight="1" x14ac:dyDescent="0.3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3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3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3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5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5" customHeight="1" x14ac:dyDescent="0.25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3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3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5" customHeight="1" x14ac:dyDescent="0.3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6" customHeight="1" x14ac:dyDescent="0.3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3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2" hidden="1" customHeight="1" x14ac:dyDescent="0.3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3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3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ht="13" x14ac:dyDescent="0.3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5">N580</f>
        <v>947.01</v>
      </c>
      <c r="O579" s="1961">
        <f t="shared" si="135"/>
        <v>799.11500000000001</v>
      </c>
      <c r="P579" s="1961">
        <f t="shared" si="135"/>
        <v>895.01</v>
      </c>
      <c r="Q579" s="2097">
        <f t="shared" si="135"/>
        <v>947.01</v>
      </c>
      <c r="R579" s="2098">
        <f t="shared" si="135"/>
        <v>947.01</v>
      </c>
      <c r="X579" s="1"/>
    </row>
    <row r="580" spans="1:24" ht="16.899999999999999" customHeight="1" x14ac:dyDescent="0.3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5"/>
        <v>947.01</v>
      </c>
      <c r="O580" s="1961">
        <f t="shared" si="135"/>
        <v>799.11500000000001</v>
      </c>
      <c r="P580" s="1961">
        <f t="shared" si="135"/>
        <v>895.01</v>
      </c>
      <c r="Q580" s="2093">
        <f t="shared" si="135"/>
        <v>947.01</v>
      </c>
      <c r="R580" s="2094">
        <f t="shared" si="135"/>
        <v>947.01</v>
      </c>
      <c r="X580" s="1"/>
    </row>
    <row r="581" spans="1:24" ht="12.75" customHeight="1" thickBot="1" x14ac:dyDescent="0.3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6" hidden="1" x14ac:dyDescent="0.3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6">L583+L585</f>
        <v>605.88300000000004</v>
      </c>
      <c r="M582" s="1148">
        <f t="shared" si="136"/>
        <v>605.88300000000004</v>
      </c>
      <c r="N582" s="2130">
        <f t="shared" si="136"/>
        <v>0</v>
      </c>
      <c r="O582" s="2131">
        <f t="shared" si="136"/>
        <v>600.79999999999995</v>
      </c>
      <c r="P582" s="2132">
        <f t="shared" si="136"/>
        <v>600.79999999999995</v>
      </c>
      <c r="Q582" s="2133">
        <f t="shared" si="136"/>
        <v>0</v>
      </c>
      <c r="R582" s="2133">
        <f t="shared" si="136"/>
        <v>0</v>
      </c>
      <c r="X582" s="1"/>
    </row>
    <row r="583" spans="1:24" ht="13" hidden="1" x14ac:dyDescent="0.3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t="13" hidden="1" x14ac:dyDescent="0.3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6" hidden="1" x14ac:dyDescent="0.3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3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5">
      <c r="X587" s="1"/>
    </row>
    <row r="588" spans="1:24" x14ac:dyDescent="0.25">
      <c r="S588" s="2">
        <v>170.6</v>
      </c>
      <c r="T588" s="2">
        <v>152.1</v>
      </c>
      <c r="U588" s="2">
        <v>938.1</v>
      </c>
    </row>
  </sheetData>
  <mergeCells count="19"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  <mergeCell ref="G128:J128"/>
    <mergeCell ref="G513:J513"/>
    <mergeCell ref="G514:J514"/>
    <mergeCell ref="G548:J548"/>
    <mergeCell ref="G549:J549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045" customWidth="1"/>
    <col min="15" max="16" width="22.1796875" style="1045" hidden="1" customWidth="1"/>
    <col min="17" max="18" width="22.1796875" style="1045" customWidth="1"/>
    <col min="19" max="21" width="10.26953125" style="2" hidden="1" customWidth="1"/>
    <col min="22" max="24" width="9.1796875" style="2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2601"/>
      <c r="J2" s="2601"/>
      <c r="K2" s="2601"/>
      <c r="L2" s="2601"/>
      <c r="M2" s="2601"/>
      <c r="N2" s="2601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2601"/>
      <c r="G3" s="2601"/>
      <c r="H3" s="2601"/>
      <c r="I3" s="2601"/>
      <c r="J3" s="2601"/>
      <c r="K3" s="2601"/>
      <c r="L3" s="2601"/>
      <c r="M3" s="2601"/>
      <c r="N3" s="2601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258" t="s">
        <v>447</v>
      </c>
      <c r="E5" s="258"/>
      <c r="F5" s="258"/>
      <c r="G5" s="2603"/>
      <c r="H5" s="2603"/>
      <c r="I5" s="2603"/>
      <c r="J5" s="2603"/>
      <c r="K5" s="2603"/>
      <c r="L5" s="2603"/>
      <c r="M5" s="2603"/>
      <c r="N5" s="2603"/>
      <c r="O5" s="449"/>
      <c r="P5" s="449"/>
      <c r="Q5" s="2603" t="s">
        <v>991</v>
      </c>
      <c r="R5" s="2603"/>
      <c r="S5" s="2603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5" x14ac:dyDescent="0.3">
      <c r="B12" s="2716"/>
      <c r="C12" s="2716"/>
      <c r="D12" s="2716"/>
      <c r="E12" s="2716"/>
      <c r="F12" s="2716"/>
      <c r="G12" s="2716"/>
      <c r="H12" s="2716"/>
      <c r="I12" s="2716"/>
      <c r="J12" s="271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5" customHeight="1" x14ac:dyDescent="0.3">
      <c r="A13" s="2717" t="s">
        <v>441</v>
      </c>
      <c r="B13" s="2717"/>
      <c r="C13" s="2717"/>
      <c r="D13" s="2717"/>
      <c r="E13" s="2717"/>
      <c r="F13" s="2717"/>
      <c r="G13" s="2717"/>
      <c r="H13" s="2717"/>
      <c r="I13" s="2717"/>
      <c r="J13" s="2717"/>
      <c r="K13" s="2717"/>
      <c r="L13" s="2717"/>
      <c r="M13" s="2717"/>
      <c r="N13" s="2717"/>
      <c r="O13" s="2717"/>
      <c r="P13" s="2717"/>
      <c r="Q13" s="2717"/>
      <c r="R13" s="2717"/>
    </row>
    <row r="14" spans="1:256" ht="17.5" customHeight="1" x14ac:dyDescent="0.3">
      <c r="A14" s="2717" t="s">
        <v>440</v>
      </c>
      <c r="B14" s="2717"/>
      <c r="C14" s="2717"/>
      <c r="D14" s="2717"/>
      <c r="E14" s="2717"/>
      <c r="F14" s="2717"/>
      <c r="G14" s="2717"/>
      <c r="H14" s="2717"/>
      <c r="I14" s="2717"/>
      <c r="J14" s="2717"/>
      <c r="K14" s="2717"/>
      <c r="L14" s="2717"/>
      <c r="M14" s="2717"/>
      <c r="N14" s="2717"/>
      <c r="O14" s="2717"/>
      <c r="P14" s="2717"/>
      <c r="Q14" s="2717"/>
      <c r="R14" s="2717"/>
    </row>
    <row r="15" spans="1:256" ht="15" customHeight="1" x14ac:dyDescent="0.3">
      <c r="A15" s="2717" t="s">
        <v>439</v>
      </c>
      <c r="B15" s="2717"/>
      <c r="C15" s="2717"/>
      <c r="D15" s="2717"/>
      <c r="E15" s="2717"/>
      <c r="F15" s="2717"/>
      <c r="G15" s="2717"/>
      <c r="H15" s="2717"/>
      <c r="I15" s="2717"/>
      <c r="J15" s="2717"/>
      <c r="K15" s="2717"/>
      <c r="L15" s="2717"/>
      <c r="M15" s="2717"/>
      <c r="N15" s="2717"/>
      <c r="O15" s="2717"/>
      <c r="P15" s="2717"/>
      <c r="Q15" s="2717"/>
      <c r="R15" s="2717"/>
    </row>
    <row r="16" spans="1:256" ht="13.5" customHeight="1" x14ac:dyDescent="0.3">
      <c r="A16" s="2717" t="s">
        <v>438</v>
      </c>
      <c r="B16" s="2717"/>
      <c r="C16" s="2717"/>
      <c r="D16" s="2717"/>
      <c r="E16" s="2717"/>
      <c r="F16" s="2717"/>
      <c r="G16" s="2717"/>
      <c r="H16" s="2717"/>
      <c r="I16" s="2717"/>
      <c r="J16" s="2717"/>
      <c r="K16" s="2717"/>
      <c r="L16" s="2717"/>
      <c r="M16" s="2717"/>
      <c r="N16" s="2717"/>
      <c r="O16" s="2717"/>
      <c r="P16" s="2717"/>
      <c r="Q16" s="2717"/>
      <c r="R16" s="2717"/>
    </row>
    <row r="17" spans="1:24" ht="16.149999999999999" customHeight="1" x14ac:dyDescent="0.3">
      <c r="A17" s="2717" t="s">
        <v>994</v>
      </c>
      <c r="B17" s="2717"/>
      <c r="C17" s="2717"/>
      <c r="D17" s="2717"/>
      <c r="E17" s="2717"/>
      <c r="F17" s="2717"/>
      <c r="G17" s="2717"/>
      <c r="H17" s="2717"/>
      <c r="I17" s="2717"/>
      <c r="J17" s="2717"/>
      <c r="K17" s="2717"/>
      <c r="L17" s="2717"/>
      <c r="M17" s="2717"/>
      <c r="N17" s="2717"/>
      <c r="O17" s="2717"/>
      <c r="P17" s="2717"/>
      <c r="Q17" s="2717"/>
      <c r="R17" s="2717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26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98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52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719" t="s">
        <v>20</v>
      </c>
      <c r="H127" s="2720"/>
      <c r="I127" s="2720"/>
      <c r="J127" s="2721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713" t="s">
        <v>17</v>
      </c>
      <c r="H128" s="2714"/>
      <c r="I128" s="2714"/>
      <c r="J128" s="2715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2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 t="shared" ref="Q200:R200" si="73">Q202</f>
        <v>650</v>
      </c>
      <c r="R200" s="1584">
        <f t="shared" si="73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 t="shared" ref="Q201:R201" si="74">Q203</f>
        <v>650</v>
      </c>
      <c r="R201" s="1584">
        <f t="shared" si="74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5">L206</f>
        <v>305</v>
      </c>
      <c r="M204" s="1553">
        <f t="shared" si="75"/>
        <v>310</v>
      </c>
      <c r="N204" s="1586">
        <f t="shared" si="75"/>
        <v>330</v>
      </c>
      <c r="O204" s="205">
        <f t="shared" si="75"/>
        <v>315</v>
      </c>
      <c r="P204" s="51">
        <f t="shared" si="75"/>
        <v>320</v>
      </c>
      <c r="Q204" s="1553">
        <f t="shared" si="75"/>
        <v>330</v>
      </c>
      <c r="R204" s="1586">
        <f t="shared" si="75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39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6">L208</f>
        <v>305</v>
      </c>
      <c r="M206" s="1552">
        <f t="shared" si="76"/>
        <v>310</v>
      </c>
      <c r="N206" s="1584">
        <f t="shared" si="76"/>
        <v>330</v>
      </c>
      <c r="O206" s="1069">
        <f t="shared" si="76"/>
        <v>315</v>
      </c>
      <c r="P206" s="1063">
        <f t="shared" si="76"/>
        <v>320</v>
      </c>
      <c r="Q206" s="1125">
        <f t="shared" si="76"/>
        <v>330</v>
      </c>
      <c r="R206" s="1584">
        <f t="shared" si="76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7">L216+L224+L237</f>
        <v>7755.5</v>
      </c>
      <c r="M215" s="1553">
        <f t="shared" si="77"/>
        <v>8382.5</v>
      </c>
      <c r="N215" s="1586">
        <f t="shared" si="77"/>
        <v>16350.599</v>
      </c>
      <c r="O215" s="205">
        <f t="shared" si="77"/>
        <v>8514.5999999999985</v>
      </c>
      <c r="P215" s="51">
        <f t="shared" si="77"/>
        <v>8600</v>
      </c>
      <c r="Q215" s="1553">
        <f t="shared" si="77"/>
        <v>15553.339999999998</v>
      </c>
      <c r="R215" s="1586">
        <f t="shared" si="77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8">N220</f>
        <v>348</v>
      </c>
      <c r="O219" s="1096">
        <f t="shared" si="78"/>
        <v>302</v>
      </c>
      <c r="P219" s="1062">
        <f t="shared" si="78"/>
        <v>337</v>
      </c>
      <c r="Q219" s="1556">
        <f t="shared" si="78"/>
        <v>362</v>
      </c>
      <c r="R219" s="1589">
        <f t="shared" si="78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8"/>
        <v>348</v>
      </c>
      <c r="O220" s="1096">
        <f t="shared" si="78"/>
        <v>302</v>
      </c>
      <c r="P220" s="1062">
        <f t="shared" si="78"/>
        <v>337</v>
      </c>
      <c r="Q220" s="1556">
        <f t="shared" si="78"/>
        <v>362</v>
      </c>
      <c r="R220" s="1589">
        <f t="shared" si="78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8"/>
        <v>348</v>
      </c>
      <c r="O221" s="1096">
        <f t="shared" si="78"/>
        <v>302</v>
      </c>
      <c r="P221" s="1062">
        <f t="shared" si="78"/>
        <v>337</v>
      </c>
      <c r="Q221" s="1556">
        <f t="shared" si="78"/>
        <v>362</v>
      </c>
      <c r="R221" s="1589">
        <f t="shared" si="78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3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5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9">L224</f>
        <v>6305</v>
      </c>
      <c r="M223" s="1553">
        <f t="shared" si="79"/>
        <v>6960</v>
      </c>
      <c r="N223" s="1586">
        <f t="shared" si="79"/>
        <v>12968.895</v>
      </c>
      <c r="O223" s="205">
        <f t="shared" si="79"/>
        <v>6962.0999999999995</v>
      </c>
      <c r="P223" s="51">
        <f t="shared" si="79"/>
        <v>6915</v>
      </c>
      <c r="Q223" s="1553">
        <f t="shared" si="79"/>
        <v>12173.939999999999</v>
      </c>
      <c r="R223" s="1586">
        <f t="shared" si="79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 t="shared" ref="L224:P224" si="80">L226</f>
        <v>6305</v>
      </c>
      <c r="M224" s="1557">
        <f t="shared" si="80"/>
        <v>6960</v>
      </c>
      <c r="N224" s="1590">
        <f>N225</f>
        <v>12968.895</v>
      </c>
      <c r="O224" s="1097">
        <f t="shared" si="80"/>
        <v>6962.0999999999995</v>
      </c>
      <c r="P224" s="1060">
        <f t="shared" si="80"/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3" x14ac:dyDescent="0.25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81">L227+L229+L231</f>
        <v>6305</v>
      </c>
      <c r="M226" s="1557">
        <f t="shared" si="81"/>
        <v>6960</v>
      </c>
      <c r="N226" s="1591">
        <f t="shared" si="81"/>
        <v>10302.695</v>
      </c>
      <c r="O226" s="1545">
        <f t="shared" si="81"/>
        <v>6962.0999999999995</v>
      </c>
      <c r="P226" s="1546">
        <f t="shared" si="81"/>
        <v>6915</v>
      </c>
      <c r="Q226" s="1628">
        <f t="shared" si="81"/>
        <v>9507.74</v>
      </c>
      <c r="R226" s="1591">
        <f t="shared" si="81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5" hidden="1" customHeight="1" x14ac:dyDescent="0.25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82">L237</f>
        <v>1278.5</v>
      </c>
      <c r="M233" s="1553">
        <f t="shared" si="82"/>
        <v>1238.5</v>
      </c>
      <c r="N233" s="1586">
        <f t="shared" si="82"/>
        <v>3033.7040000000002</v>
      </c>
      <c r="O233" s="205">
        <f t="shared" si="82"/>
        <v>1250.5</v>
      </c>
      <c r="P233" s="51">
        <f t="shared" si="82"/>
        <v>1348</v>
      </c>
      <c r="Q233" s="1553">
        <f t="shared" si="82"/>
        <v>3017.4</v>
      </c>
      <c r="R233" s="1586">
        <f t="shared" si="82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5" customHeight="1" x14ac:dyDescent="0.3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49999999999999" customHeight="1" x14ac:dyDescent="0.3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3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" x14ac:dyDescent="0.25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3">L239</f>
        <v>1278.5</v>
      </c>
      <c r="M237" s="1557">
        <f t="shared" si="83"/>
        <v>1238.5</v>
      </c>
      <c r="N237" s="1590">
        <f t="shared" si="83"/>
        <v>3033.7040000000002</v>
      </c>
      <c r="O237" s="1097">
        <f t="shared" si="83"/>
        <v>1250.5</v>
      </c>
      <c r="P237" s="1060">
        <f t="shared" si="83"/>
        <v>1348</v>
      </c>
      <c r="Q237" s="1557">
        <f t="shared" si="83"/>
        <v>3017.4</v>
      </c>
      <c r="R237" s="1590">
        <f t="shared" si="83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13" x14ac:dyDescent="0.25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4">N239</f>
        <v>3033.7040000000002</v>
      </c>
      <c r="O238" s="1097">
        <f t="shared" si="84"/>
        <v>1250.5</v>
      </c>
      <c r="P238" s="1060">
        <f t="shared" si="84"/>
        <v>1348</v>
      </c>
      <c r="Q238" s="1557">
        <f t="shared" si="84"/>
        <v>3017.4</v>
      </c>
      <c r="R238" s="1590">
        <f t="shared" si="84"/>
        <v>3338</v>
      </c>
    </row>
    <row r="239" spans="1:256" ht="13" x14ac:dyDescent="0.25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 t="shared" ref="L239:M239" si="85">L240</f>
        <v>1278.5</v>
      </c>
      <c r="M239" s="1557">
        <f t="shared" si="85"/>
        <v>1238.5</v>
      </c>
      <c r="N239" s="1590">
        <f t="shared" si="84"/>
        <v>3033.7040000000002</v>
      </c>
      <c r="O239" s="1097">
        <f t="shared" si="84"/>
        <v>1250.5</v>
      </c>
      <c r="P239" s="1060">
        <f t="shared" si="84"/>
        <v>1348</v>
      </c>
      <c r="Q239" s="1557">
        <f t="shared" si="84"/>
        <v>3017.4</v>
      </c>
      <c r="R239" s="1590">
        <f t="shared" si="84"/>
        <v>3338</v>
      </c>
    </row>
    <row r="240" spans="1:256" ht="25.15" customHeight="1" x14ac:dyDescent="0.25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2" hidden="1" x14ac:dyDescent="0.3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" x14ac:dyDescent="0.3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5" customHeight="1" x14ac:dyDescent="0.25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6">L244+L257</f>
        <v>1182</v>
      </c>
      <c r="M243" s="1553">
        <f t="shared" si="86"/>
        <v>1022</v>
      </c>
      <c r="N243" s="1586">
        <f t="shared" si="86"/>
        <v>836</v>
      </c>
      <c r="O243" s="205">
        <f t="shared" si="86"/>
        <v>1202</v>
      </c>
      <c r="P243" s="51">
        <f t="shared" si="86"/>
        <v>676</v>
      </c>
      <c r="Q243" s="1553">
        <f t="shared" si="86"/>
        <v>1202</v>
      </c>
      <c r="R243" s="1586">
        <f t="shared" si="86"/>
        <v>1250.04</v>
      </c>
    </row>
    <row r="244" spans="1:24" ht="65" x14ac:dyDescent="0.25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9" hidden="1" x14ac:dyDescent="0.25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7">N246</f>
        <v>0</v>
      </c>
      <c r="O245" s="1069">
        <f t="shared" si="87"/>
        <v>0</v>
      </c>
      <c r="P245" s="1063">
        <f t="shared" si="87"/>
        <v>0</v>
      </c>
      <c r="Q245" s="1125">
        <f t="shared" si="87"/>
        <v>0</v>
      </c>
      <c r="R245" s="1584">
        <f t="shared" si="87"/>
        <v>0</v>
      </c>
    </row>
    <row r="246" spans="1:24" ht="26" hidden="1" x14ac:dyDescent="0.25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7"/>
        <v>0</v>
      </c>
      <c r="O246" s="1069">
        <f t="shared" si="87"/>
        <v>0</v>
      </c>
      <c r="P246" s="1063">
        <f t="shared" si="87"/>
        <v>0</v>
      </c>
      <c r="Q246" s="1125">
        <f t="shared" si="87"/>
        <v>0</v>
      </c>
      <c r="R246" s="1584">
        <f t="shared" si="87"/>
        <v>0</v>
      </c>
    </row>
    <row r="247" spans="1:24" ht="25.15" hidden="1" customHeight="1" x14ac:dyDescent="0.25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7"/>
        <v>0</v>
      </c>
      <c r="O247" s="1069">
        <f t="shared" si="87"/>
        <v>0</v>
      </c>
      <c r="P247" s="1063">
        <f t="shared" si="87"/>
        <v>0</v>
      </c>
      <c r="Q247" s="1125">
        <f t="shared" si="87"/>
        <v>0</v>
      </c>
      <c r="R247" s="1584">
        <f t="shared" si="87"/>
        <v>0</v>
      </c>
    </row>
    <row r="248" spans="1:24" ht="26" hidden="1" x14ac:dyDescent="0.3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9" x14ac:dyDescent="0.25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6" x14ac:dyDescent="0.25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8">N251</f>
        <v>133.32</v>
      </c>
      <c r="O250" s="1069">
        <f t="shared" si="88"/>
        <v>320</v>
      </c>
      <c r="P250" s="1063">
        <f t="shared" si="88"/>
        <v>340</v>
      </c>
      <c r="Q250" s="1125">
        <f t="shared" si="88"/>
        <v>376</v>
      </c>
      <c r="R250" s="1584">
        <f t="shared" si="88"/>
        <v>391</v>
      </c>
    </row>
    <row r="251" spans="1:24" ht="26" x14ac:dyDescent="0.25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8"/>
        <v>133.32</v>
      </c>
      <c r="O251" s="1069">
        <f t="shared" si="88"/>
        <v>320</v>
      </c>
      <c r="P251" s="1063">
        <f t="shared" si="88"/>
        <v>340</v>
      </c>
      <c r="Q251" s="1125">
        <f t="shared" si="88"/>
        <v>376</v>
      </c>
      <c r="R251" s="1584">
        <f t="shared" si="88"/>
        <v>391</v>
      </c>
    </row>
    <row r="252" spans="1:24" ht="26" x14ac:dyDescent="0.3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ht="13" x14ac:dyDescent="0.25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9">N254</f>
        <v>310</v>
      </c>
      <c r="O253" s="1069">
        <f t="shared" si="89"/>
        <v>186</v>
      </c>
      <c r="P253" s="1063">
        <f t="shared" si="89"/>
        <v>306</v>
      </c>
      <c r="Q253" s="1125">
        <f t="shared" si="89"/>
        <v>230</v>
      </c>
      <c r="R253" s="1584">
        <f t="shared" si="89"/>
        <v>239.2</v>
      </c>
    </row>
    <row r="254" spans="1:24" ht="13" x14ac:dyDescent="0.25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9"/>
        <v>310</v>
      </c>
      <c r="O254" s="1069">
        <f t="shared" si="89"/>
        <v>186</v>
      </c>
      <c r="P254" s="1063">
        <f t="shared" si="89"/>
        <v>306</v>
      </c>
      <c r="Q254" s="1125">
        <f t="shared" si="89"/>
        <v>230</v>
      </c>
      <c r="R254" s="1584">
        <f t="shared" si="89"/>
        <v>239.2</v>
      </c>
    </row>
    <row r="255" spans="1:24" ht="25.15" customHeight="1" x14ac:dyDescent="0.25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9"/>
        <v>310</v>
      </c>
      <c r="O255" s="1069">
        <f t="shared" si="89"/>
        <v>186</v>
      </c>
      <c r="P255" s="1063">
        <f t="shared" si="89"/>
        <v>306</v>
      </c>
      <c r="Q255" s="1125">
        <f t="shared" si="89"/>
        <v>230</v>
      </c>
      <c r="R255" s="1584">
        <f t="shared" si="89"/>
        <v>239.2</v>
      </c>
    </row>
    <row r="256" spans="1:24" ht="26" x14ac:dyDescent="0.3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5" x14ac:dyDescent="0.25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90">N258</f>
        <v>392.68</v>
      </c>
      <c r="O257" s="1069">
        <f t="shared" si="90"/>
        <v>696</v>
      </c>
      <c r="P257" s="1063">
        <f t="shared" si="90"/>
        <v>30</v>
      </c>
      <c r="Q257" s="1125">
        <f t="shared" si="90"/>
        <v>596</v>
      </c>
      <c r="R257" s="1584">
        <f t="shared" si="90"/>
        <v>619.84</v>
      </c>
    </row>
    <row r="258" spans="1:24" ht="52" x14ac:dyDescent="0.25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90"/>
        <v>392.68</v>
      </c>
      <c r="O258" s="1069">
        <f t="shared" si="90"/>
        <v>696</v>
      </c>
      <c r="P258" s="1063">
        <f t="shared" si="90"/>
        <v>30</v>
      </c>
      <c r="Q258" s="1125">
        <f t="shared" si="90"/>
        <v>596</v>
      </c>
      <c r="R258" s="1584">
        <f t="shared" si="90"/>
        <v>619.84</v>
      </c>
    </row>
    <row r="259" spans="1:24" ht="13" x14ac:dyDescent="0.25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91">L261</f>
        <v>686</v>
      </c>
      <c r="M259" s="1125">
        <f t="shared" si="91"/>
        <v>686</v>
      </c>
      <c r="N259" s="1584">
        <f t="shared" si="91"/>
        <v>392.68</v>
      </c>
      <c r="O259" s="1069">
        <f t="shared" si="91"/>
        <v>696</v>
      </c>
      <c r="P259" s="1063">
        <f t="shared" si="91"/>
        <v>30</v>
      </c>
      <c r="Q259" s="1125">
        <f t="shared" si="91"/>
        <v>596</v>
      </c>
      <c r="R259" s="1584">
        <f t="shared" si="91"/>
        <v>619.84</v>
      </c>
    </row>
    <row r="260" spans="1:24" ht="40.5" hidden="1" customHeight="1" x14ac:dyDescent="0.25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5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5" customHeight="1" x14ac:dyDescent="0.3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3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92">L264+L279</f>
        <v>11444.685000000001</v>
      </c>
      <c r="M263" s="1553">
        <f t="shared" si="92"/>
        <v>14038.547</v>
      </c>
      <c r="N263" s="1586">
        <f t="shared" si="92"/>
        <v>5289.9639999999999</v>
      </c>
      <c r="O263" s="205">
        <f t="shared" si="92"/>
        <v>5740</v>
      </c>
      <c r="P263" s="51">
        <f t="shared" si="92"/>
        <v>5980</v>
      </c>
      <c r="Q263" s="1553">
        <f t="shared" si="92"/>
        <v>3908.3220000000001</v>
      </c>
      <c r="R263" s="1586">
        <f t="shared" si="92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52" x14ac:dyDescent="0.3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ht="13" x14ac:dyDescent="0.3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93">N267</f>
        <v>2404.9499999999998</v>
      </c>
      <c r="O266" s="1087">
        <f t="shared" si="93"/>
        <v>0</v>
      </c>
      <c r="P266" s="1061">
        <f t="shared" si="93"/>
        <v>0</v>
      </c>
      <c r="Q266" s="1550">
        <f t="shared" si="93"/>
        <v>0</v>
      </c>
      <c r="R266" s="1582">
        <f t="shared" si="93"/>
        <v>0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93"/>
        <v>2404.9499999999998</v>
      </c>
      <c r="O267" s="1087">
        <f t="shared" si="93"/>
        <v>0</v>
      </c>
      <c r="P267" s="1061">
        <f t="shared" si="93"/>
        <v>0</v>
      </c>
      <c r="Q267" s="1550">
        <f t="shared" si="93"/>
        <v>0</v>
      </c>
      <c r="R267" s="1582">
        <f t="shared" si="93"/>
        <v>0</v>
      </c>
      <c r="S267" s="84"/>
      <c r="T267" s="84"/>
      <c r="U267" s="84"/>
      <c r="V267" s="84"/>
      <c r="W267" s="84"/>
      <c r="X267" s="84"/>
    </row>
    <row r="268" spans="1:24" s="83" customFormat="1" ht="13" x14ac:dyDescent="0.3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6" x14ac:dyDescent="0.3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3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2" hidden="1" x14ac:dyDescent="0.3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ht="13" x14ac:dyDescent="0.3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39" hidden="1" x14ac:dyDescent="0.3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4">N274</f>
        <v>0</v>
      </c>
      <c r="O273" s="1087">
        <f t="shared" si="94"/>
        <v>0</v>
      </c>
      <c r="P273" s="1061">
        <f t="shared" si="94"/>
        <v>0</v>
      </c>
      <c r="Q273" s="1550">
        <f t="shared" si="94"/>
        <v>0</v>
      </c>
      <c r="R273" s="1582">
        <f t="shared" si="94"/>
        <v>0</v>
      </c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4"/>
        <v>0</v>
      </c>
      <c r="O274" s="1087">
        <f t="shared" si="94"/>
        <v>0</v>
      </c>
      <c r="P274" s="1061">
        <f t="shared" si="94"/>
        <v>0</v>
      </c>
      <c r="Q274" s="1550">
        <f t="shared" si="94"/>
        <v>0</v>
      </c>
      <c r="R274" s="1582">
        <f t="shared" si="94"/>
        <v>0</v>
      </c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6" hidden="1" x14ac:dyDescent="0.3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5">N277</f>
        <v>0</v>
      </c>
      <c r="O276" s="1087">
        <f t="shared" si="95"/>
        <v>0</v>
      </c>
      <c r="P276" s="1061">
        <f t="shared" si="95"/>
        <v>0</v>
      </c>
      <c r="Q276" s="1550">
        <f t="shared" si="95"/>
        <v>0</v>
      </c>
      <c r="R276" s="1582">
        <f t="shared" si="95"/>
        <v>0</v>
      </c>
      <c r="S276" s="84"/>
      <c r="T276" s="84"/>
      <c r="U276" s="84"/>
      <c r="V276" s="84"/>
      <c r="W276" s="84"/>
      <c r="X276" s="84"/>
    </row>
    <row r="277" spans="1:256" s="83" customFormat="1" ht="26" hidden="1" x14ac:dyDescent="0.3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5"/>
        <v>0</v>
      </c>
      <c r="O277" s="1087">
        <f t="shared" si="95"/>
        <v>0</v>
      </c>
      <c r="P277" s="1061">
        <f t="shared" si="95"/>
        <v>0</v>
      </c>
      <c r="Q277" s="1550">
        <f t="shared" si="95"/>
        <v>0</v>
      </c>
      <c r="R277" s="1582">
        <f t="shared" si="95"/>
        <v>0</v>
      </c>
      <c r="S277" s="84"/>
      <c r="T277" s="84"/>
      <c r="U277" s="84"/>
      <c r="V277" s="84"/>
      <c r="W277" s="84"/>
      <c r="X277" s="84"/>
    </row>
    <row r="278" spans="1:256" s="83" customFormat="1" ht="13" hidden="1" x14ac:dyDescent="0.3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39" x14ac:dyDescent="0.3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6" x14ac:dyDescent="0.3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ht="13" x14ac:dyDescent="0.3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6">N282</f>
        <v>750</v>
      </c>
      <c r="O281" s="1069">
        <f t="shared" si="96"/>
        <v>5240</v>
      </c>
      <c r="P281" s="1063">
        <f t="shared" si="96"/>
        <v>5380</v>
      </c>
      <c r="Q281" s="1550">
        <f t="shared" si="96"/>
        <v>1722.2</v>
      </c>
      <c r="R281" s="1582">
        <f t="shared" si="96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6" x14ac:dyDescent="0.3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6"/>
        <v>750</v>
      </c>
      <c r="O282" s="1069">
        <f t="shared" si="96"/>
        <v>5240</v>
      </c>
      <c r="P282" s="1063">
        <f t="shared" si="96"/>
        <v>5380</v>
      </c>
      <c r="Q282" s="1550">
        <f t="shared" si="96"/>
        <v>1722.2</v>
      </c>
      <c r="R282" s="1582">
        <f t="shared" si="96"/>
        <v>775.19899999999996</v>
      </c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6" x14ac:dyDescent="0.3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7">N285</f>
        <v>440</v>
      </c>
      <c r="O284" s="1069">
        <f t="shared" si="97"/>
        <v>500</v>
      </c>
      <c r="P284" s="1063">
        <f t="shared" si="97"/>
        <v>600</v>
      </c>
      <c r="Q284" s="1125">
        <f t="shared" si="97"/>
        <v>460</v>
      </c>
      <c r="R284" s="1584">
        <f t="shared" si="97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3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7"/>
        <v>440</v>
      </c>
      <c r="O285" s="1069">
        <f t="shared" si="97"/>
        <v>500</v>
      </c>
      <c r="P285" s="1063">
        <f t="shared" si="97"/>
        <v>600</v>
      </c>
      <c r="Q285" s="1125">
        <f t="shared" si="97"/>
        <v>460</v>
      </c>
      <c r="R285" s="1584">
        <f t="shared" si="97"/>
        <v>520</v>
      </c>
      <c r="S285" s="84"/>
      <c r="T285" s="84"/>
      <c r="U285" s="84"/>
      <c r="V285" s="84"/>
      <c r="W285" s="84"/>
      <c r="X285" s="84"/>
    </row>
    <row r="286" spans="1:256" s="83" customFormat="1" ht="13" x14ac:dyDescent="0.3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9" x14ac:dyDescent="0.25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8">N288</f>
        <v>3500.703</v>
      </c>
      <c r="O287" s="150">
        <f t="shared" si="98"/>
        <v>48</v>
      </c>
      <c r="P287" s="150">
        <f t="shared" si="98"/>
        <v>816.12</v>
      </c>
      <c r="Q287" s="1559">
        <f t="shared" si="98"/>
        <v>4981.808</v>
      </c>
      <c r="R287" s="1592">
        <f t="shared" si="98"/>
        <v>3700</v>
      </c>
    </row>
    <row r="288" spans="1:256" s="2" customFormat="1" ht="31.15" customHeight="1" x14ac:dyDescent="0.25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8"/>
        <v>3500.703</v>
      </c>
      <c r="O288" s="1101">
        <f t="shared" si="98"/>
        <v>48</v>
      </c>
      <c r="P288" s="1100">
        <f t="shared" si="98"/>
        <v>816.12</v>
      </c>
      <c r="Q288" s="1629">
        <f t="shared" si="98"/>
        <v>4981.808</v>
      </c>
      <c r="R288" s="1593">
        <f t="shared" si="98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6" x14ac:dyDescent="0.25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8"/>
        <v>3500.703</v>
      </c>
      <c r="O289" s="1105">
        <f t="shared" si="98"/>
        <v>48</v>
      </c>
      <c r="P289" s="1103">
        <f t="shared" si="98"/>
        <v>816.12</v>
      </c>
      <c r="Q289" s="1630">
        <f t="shared" si="98"/>
        <v>4981.808</v>
      </c>
      <c r="R289" s="1594">
        <f t="shared" si="98"/>
        <v>3700</v>
      </c>
    </row>
    <row r="290" spans="1:256" ht="13" x14ac:dyDescent="0.25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2" hidden="1" x14ac:dyDescent="0.25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ht="13" x14ac:dyDescent="0.25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5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5" customHeight="1" x14ac:dyDescent="0.25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9" x14ac:dyDescent="0.25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9">L296</f>
        <v>5406.2</v>
      </c>
      <c r="M295" s="1552">
        <f t="shared" si="99"/>
        <v>5230.3</v>
      </c>
      <c r="N295" s="1582">
        <f t="shared" si="99"/>
        <v>2300</v>
      </c>
      <c r="O295" s="1087">
        <f t="shared" si="99"/>
        <v>10043.379999999999</v>
      </c>
      <c r="P295" s="1061">
        <f t="shared" si="99"/>
        <v>6288.7259999999997</v>
      </c>
      <c r="Q295" s="1550">
        <f t="shared" si="99"/>
        <v>2500</v>
      </c>
      <c r="R295" s="1582">
        <f t="shared" si="99"/>
        <v>2800</v>
      </c>
    </row>
    <row r="296" spans="1:25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ht="13" x14ac:dyDescent="0.3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9" x14ac:dyDescent="0.25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5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49999999999999" hidden="1" customHeight="1" x14ac:dyDescent="0.3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ht="13" x14ac:dyDescent="0.3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9" hidden="1" x14ac:dyDescent="0.25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t="13" hidden="1" x14ac:dyDescent="0.3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t="13" hidden="1" x14ac:dyDescent="0.3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5" x14ac:dyDescent="0.25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9" x14ac:dyDescent="0.25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9" x14ac:dyDescent="0.25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100">N308</f>
        <v>7000</v>
      </c>
      <c r="O307" s="1087">
        <f t="shared" si="100"/>
        <v>3268.201</v>
      </c>
      <c r="P307" s="1061">
        <f t="shared" si="100"/>
        <v>3595.0210000000002</v>
      </c>
      <c r="Q307" s="1550">
        <f t="shared" si="100"/>
        <v>3608.5</v>
      </c>
      <c r="R307" s="1582">
        <f t="shared" si="100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ht="13" x14ac:dyDescent="0.25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100"/>
        <v>7000</v>
      </c>
      <c r="O308" s="1087">
        <f t="shared" si="100"/>
        <v>3268.201</v>
      </c>
      <c r="P308" s="1061">
        <f t="shared" si="100"/>
        <v>3595.0210000000002</v>
      </c>
      <c r="Q308" s="1550">
        <f t="shared" si="100"/>
        <v>3608.5</v>
      </c>
      <c r="R308" s="1582">
        <f t="shared" si="100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x14ac:dyDescent="0.3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6" hidden="1" x14ac:dyDescent="0.25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101">N311</f>
        <v>0</v>
      </c>
      <c r="O310" s="1087">
        <f t="shared" si="101"/>
        <v>402.59899999999999</v>
      </c>
      <c r="P310" s="1061">
        <f t="shared" si="101"/>
        <v>442.85899999999998</v>
      </c>
      <c r="Q310" s="1550">
        <f t="shared" si="101"/>
        <v>0</v>
      </c>
      <c r="R310" s="1582">
        <f t="shared" si="101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6" hidden="1" x14ac:dyDescent="0.25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101"/>
        <v>0</v>
      </c>
      <c r="O311" s="1087">
        <f t="shared" si="101"/>
        <v>402.59899999999999</v>
      </c>
      <c r="P311" s="1061">
        <f t="shared" si="101"/>
        <v>442.85899999999998</v>
      </c>
      <c r="Q311" s="1550">
        <f t="shared" si="101"/>
        <v>0</v>
      </c>
      <c r="R311" s="1582">
        <f t="shared" si="101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13" hidden="1" x14ac:dyDescent="0.3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 x14ac:dyDescent="0.25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5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102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6" x14ac:dyDescent="0.25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102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5" customHeight="1" x14ac:dyDescent="0.25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102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25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102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13" x14ac:dyDescent="0.25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102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13" x14ac:dyDescent="0.25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5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102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6" x14ac:dyDescent="0.25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102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" x14ac:dyDescent="0.25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102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" x14ac:dyDescent="0.25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102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13" x14ac:dyDescent="0.25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13" x14ac:dyDescent="0.25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2" x14ac:dyDescent="0.25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9" x14ac:dyDescent="0.25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103">Q328</f>
        <v>880</v>
      </c>
      <c r="R327" s="1599">
        <f t="shared" si="103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4.5" x14ac:dyDescent="0.25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103"/>
        <v>880</v>
      </c>
      <c r="R328" s="1599">
        <f t="shared" si="103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3" x14ac:dyDescent="0.25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103"/>
        <v>880</v>
      </c>
      <c r="R329" s="1599">
        <f t="shared" si="103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3" x14ac:dyDescent="0.25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103"/>
        <v>880</v>
      </c>
      <c r="R330" s="1599">
        <f t="shared" si="103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13" x14ac:dyDescent="0.25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9" x14ac:dyDescent="0.25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4.5" x14ac:dyDescent="0.25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102"/>
        <v>350</v>
      </c>
      <c r="O333" s="1087"/>
      <c r="P333" s="1061"/>
      <c r="Q333" s="1633">
        <f t="shared" ref="Q333:R335" si="104">Q334</f>
        <v>385</v>
      </c>
      <c r="R333" s="1599">
        <f t="shared" si="104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3" x14ac:dyDescent="0.25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102"/>
        <v>350</v>
      </c>
      <c r="O334" s="1087"/>
      <c r="P334" s="1061"/>
      <c r="Q334" s="1633">
        <f t="shared" si="104"/>
        <v>385</v>
      </c>
      <c r="R334" s="1599">
        <f t="shared" si="104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3" x14ac:dyDescent="0.25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102"/>
        <v>350</v>
      </c>
      <c r="O335" s="1087"/>
      <c r="P335" s="1061"/>
      <c r="Q335" s="1633">
        <f t="shared" si="104"/>
        <v>385</v>
      </c>
      <c r="R335" s="1599">
        <f t="shared" si="104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13" x14ac:dyDescent="0.25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13" hidden="1" x14ac:dyDescent="0.3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13" hidden="1" x14ac:dyDescent="0.3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13" hidden="1" x14ac:dyDescent="0.3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5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5">N341</f>
        <v>0</v>
      </c>
      <c r="O340" s="205">
        <f t="shared" si="105"/>
        <v>3500</v>
      </c>
      <c r="P340" s="51">
        <f t="shared" si="105"/>
        <v>3500</v>
      </c>
      <c r="Q340" s="1553">
        <f t="shared" si="105"/>
        <v>0</v>
      </c>
      <c r="R340" s="1586">
        <f t="shared" si="105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9" hidden="1" x14ac:dyDescent="0.25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5"/>
        <v>0</v>
      </c>
      <c r="O341" s="791">
        <f t="shared" si="105"/>
        <v>3500</v>
      </c>
      <c r="P341" s="47">
        <f t="shared" si="105"/>
        <v>3500</v>
      </c>
      <c r="Q341" s="209">
        <f t="shared" si="105"/>
        <v>0</v>
      </c>
      <c r="R341" s="1595">
        <f t="shared" si="105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6" hidden="1" x14ac:dyDescent="0.25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5"/>
        <v>0</v>
      </c>
      <c r="O342" s="1087">
        <f t="shared" si="105"/>
        <v>3500</v>
      </c>
      <c r="P342" s="1061">
        <f t="shared" si="105"/>
        <v>3500</v>
      </c>
      <c r="Q342" s="1550">
        <f t="shared" si="105"/>
        <v>0</v>
      </c>
      <c r="R342" s="1582">
        <f t="shared" si="105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5" hidden="1" customHeight="1" x14ac:dyDescent="0.3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5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9" hidden="1" x14ac:dyDescent="0.25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5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5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5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t="13" hidden="1" x14ac:dyDescent="0.3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5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6">L351+L427+L437</f>
        <v>28148.264999999999</v>
      </c>
      <c r="M350" s="1563">
        <f t="shared" si="106"/>
        <v>29104.548000000003</v>
      </c>
      <c r="N350" s="1601">
        <f t="shared" si="106"/>
        <v>30597.762999999999</v>
      </c>
      <c r="O350" s="1112">
        <f t="shared" si="106"/>
        <v>22421.825000000004</v>
      </c>
      <c r="P350" s="1111">
        <f t="shared" si="106"/>
        <v>23877.43</v>
      </c>
      <c r="Q350" s="1635">
        <f t="shared" si="106"/>
        <v>30018.576999999997</v>
      </c>
      <c r="R350" s="1601">
        <f t="shared" si="106"/>
        <v>30189.748999999996</v>
      </c>
    </row>
    <row r="351" spans="1:256" s="83" customFormat="1" ht="39" x14ac:dyDescent="0.3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0" x14ac:dyDescent="0.3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7">Q353</f>
        <v>1764.761</v>
      </c>
      <c r="R352" s="1603">
        <f t="shared" si="107"/>
        <v>1832.232</v>
      </c>
      <c r="S352" s="84"/>
      <c r="T352" s="84"/>
      <c r="U352" s="84"/>
      <c r="V352" s="84"/>
      <c r="W352" s="84"/>
      <c r="X352" s="84"/>
    </row>
    <row r="353" spans="1:24" s="83" customFormat="1" ht="13" x14ac:dyDescent="0.3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7"/>
        <v>1764.761</v>
      </c>
      <c r="R353" s="1603">
        <f t="shared" si="107"/>
        <v>1832.232</v>
      </c>
      <c r="S353" s="84"/>
      <c r="T353" s="84"/>
      <c r="U353" s="84"/>
      <c r="V353" s="84"/>
      <c r="W353" s="84"/>
      <c r="X353" s="84"/>
    </row>
    <row r="354" spans="1:24" s="83" customFormat="1" ht="20" x14ac:dyDescent="0.3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7"/>
        <v>1764.761</v>
      </c>
      <c r="R354" s="1602">
        <f t="shared" si="107"/>
        <v>1832.232</v>
      </c>
      <c r="S354" s="84"/>
      <c r="T354" s="84"/>
      <c r="U354" s="84"/>
      <c r="V354" s="84"/>
      <c r="W354" s="84"/>
      <c r="X354" s="84"/>
    </row>
    <row r="355" spans="1:24" s="83" customFormat="1" ht="13" x14ac:dyDescent="0.3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7"/>
        <v>1764.761</v>
      </c>
      <c r="R355" s="1603">
        <f t="shared" si="107"/>
        <v>1832.232</v>
      </c>
      <c r="S355" s="84"/>
      <c r="T355" s="84"/>
      <c r="U355" s="84"/>
      <c r="V355" s="84"/>
      <c r="W355" s="84"/>
      <c r="X355" s="84"/>
    </row>
    <row r="356" spans="1:24" s="83" customFormat="1" ht="20" x14ac:dyDescent="0.3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9" x14ac:dyDescent="0.3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ht="13" x14ac:dyDescent="0.3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ht="13" x14ac:dyDescent="0.3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3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5" customHeight="1" x14ac:dyDescent="0.3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5" hidden="1" customHeight="1" x14ac:dyDescent="0.3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5" customHeight="1" x14ac:dyDescent="0.3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5" customHeight="1" x14ac:dyDescent="0.3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8">L366+L370</f>
        <v>3255.4169999999999</v>
      </c>
      <c r="M364" s="1555">
        <f t="shared" si="108"/>
        <v>3483.2959999999998</v>
      </c>
      <c r="N364" s="1590">
        <f t="shared" si="108"/>
        <v>3158.864</v>
      </c>
      <c r="O364" s="1097">
        <f t="shared" si="108"/>
        <v>5795.75</v>
      </c>
      <c r="P364" s="1060">
        <f t="shared" si="108"/>
        <v>5588.9679999999998</v>
      </c>
      <c r="Q364" s="1557">
        <f t="shared" si="108"/>
        <v>2950.0419999999999</v>
      </c>
      <c r="R364" s="1590">
        <f t="shared" si="108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3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3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3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3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3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3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5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3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5" customHeight="1" x14ac:dyDescent="0.3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3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3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3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9" x14ac:dyDescent="0.3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9">N378</f>
        <v>50.6</v>
      </c>
      <c r="O377" s="1107">
        <f t="shared" si="109"/>
        <v>0</v>
      </c>
      <c r="P377" s="1064">
        <f t="shared" si="109"/>
        <v>0</v>
      </c>
      <c r="Q377" s="1563">
        <f t="shared" si="109"/>
        <v>0</v>
      </c>
      <c r="R377" s="1597">
        <f t="shared" si="109"/>
        <v>0</v>
      </c>
    </row>
    <row r="378" spans="1:256" ht="13" x14ac:dyDescent="0.3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9"/>
        <v>50.6</v>
      </c>
      <c r="O378" s="1087">
        <f t="shared" si="109"/>
        <v>0</v>
      </c>
      <c r="P378" s="1061">
        <f t="shared" si="109"/>
        <v>0</v>
      </c>
      <c r="Q378" s="1550">
        <f t="shared" si="109"/>
        <v>0</v>
      </c>
      <c r="R378" s="1582">
        <f t="shared" si="109"/>
        <v>0</v>
      </c>
    </row>
    <row r="379" spans="1:256" s="2" customFormat="1" ht="39" x14ac:dyDescent="0.3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9" x14ac:dyDescent="0.25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10">N381</f>
        <v>307.5</v>
      </c>
      <c r="O380" s="1107">
        <f t="shared" si="110"/>
        <v>0</v>
      </c>
      <c r="P380" s="1064">
        <f t="shared" si="110"/>
        <v>0</v>
      </c>
      <c r="Q380" s="1563">
        <f t="shared" si="110"/>
        <v>0</v>
      </c>
      <c r="R380" s="1597">
        <f t="shared" si="110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13" x14ac:dyDescent="0.25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10"/>
        <v>307.5</v>
      </c>
      <c r="O381" s="1087">
        <f t="shared" si="110"/>
        <v>0</v>
      </c>
      <c r="P381" s="1061">
        <f t="shared" si="110"/>
        <v>0</v>
      </c>
      <c r="Q381" s="1550">
        <f t="shared" si="110"/>
        <v>0</v>
      </c>
      <c r="R381" s="1582">
        <f t="shared" si="110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" x14ac:dyDescent="0.3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9" hidden="1" x14ac:dyDescent="0.25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9" hidden="1" x14ac:dyDescent="0.3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52" hidden="1" x14ac:dyDescent="0.25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11">N386</f>
        <v>0</v>
      </c>
      <c r="O385" s="1107">
        <f t="shared" si="111"/>
        <v>0</v>
      </c>
      <c r="P385" s="1064">
        <f t="shared" si="111"/>
        <v>0</v>
      </c>
      <c r="Q385" s="1563">
        <f t="shared" si="111"/>
        <v>0</v>
      </c>
      <c r="R385" s="1597">
        <f t="shared" si="11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13" hidden="1" x14ac:dyDescent="0.25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11"/>
        <v>0</v>
      </c>
      <c r="O386" s="1087">
        <f t="shared" si="111"/>
        <v>0</v>
      </c>
      <c r="P386" s="1061">
        <f t="shared" si="111"/>
        <v>0</v>
      </c>
      <c r="Q386" s="1550">
        <f t="shared" si="111"/>
        <v>0</v>
      </c>
      <c r="R386" s="1582">
        <f t="shared" si="11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" hidden="1" x14ac:dyDescent="0.3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2" hidden="1" x14ac:dyDescent="0.25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12">N389</f>
        <v>0</v>
      </c>
      <c r="O388" s="1107">
        <f t="shared" si="112"/>
        <v>0</v>
      </c>
      <c r="P388" s="1064">
        <f t="shared" si="112"/>
        <v>0</v>
      </c>
      <c r="Q388" s="1563">
        <f t="shared" si="112"/>
        <v>0</v>
      </c>
      <c r="R388" s="1597">
        <f t="shared" si="112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5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12"/>
        <v>0</v>
      </c>
      <c r="O389" s="1087">
        <f t="shared" si="112"/>
        <v>0</v>
      </c>
      <c r="P389" s="1061">
        <f t="shared" si="112"/>
        <v>0</v>
      </c>
      <c r="Q389" s="1550">
        <f t="shared" si="112"/>
        <v>0</v>
      </c>
      <c r="R389" s="1582">
        <f t="shared" si="112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6" hidden="1" x14ac:dyDescent="0.25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12"/>
        <v>0</v>
      </c>
      <c r="O390" s="1097">
        <f t="shared" si="112"/>
        <v>0</v>
      </c>
      <c r="P390" s="1060">
        <f t="shared" si="112"/>
        <v>0</v>
      </c>
      <c r="Q390" s="1557">
        <f t="shared" si="112"/>
        <v>0</v>
      </c>
      <c r="R390" s="1590">
        <f t="shared" si="112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13" hidden="1" x14ac:dyDescent="0.3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12"/>
        <v>0</v>
      </c>
      <c r="O391" s="1097">
        <f t="shared" si="112"/>
        <v>0</v>
      </c>
      <c r="P391" s="1060">
        <f t="shared" si="112"/>
        <v>0</v>
      </c>
      <c r="Q391" s="1557">
        <f t="shared" si="112"/>
        <v>0</v>
      </c>
      <c r="R391" s="1590">
        <f t="shared" si="112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9" hidden="1" x14ac:dyDescent="0.3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5" hidden="1" x14ac:dyDescent="0.25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13">L394</f>
        <v>171.8</v>
      </c>
      <c r="M393" s="1552">
        <f t="shared" si="113"/>
        <v>171.8</v>
      </c>
      <c r="N393" s="1585">
        <f t="shared" si="113"/>
        <v>0</v>
      </c>
      <c r="O393" s="1091">
        <f t="shared" si="113"/>
        <v>0</v>
      </c>
      <c r="P393" s="1065">
        <f t="shared" si="113"/>
        <v>0</v>
      </c>
      <c r="Q393" s="1552">
        <f t="shared" si="113"/>
        <v>0</v>
      </c>
      <c r="R393" s="1585">
        <f t="shared" si="113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3" hidden="1" x14ac:dyDescent="0.3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9" hidden="1" x14ac:dyDescent="0.3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650000000000006" hidden="1" customHeight="1" x14ac:dyDescent="0.25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4">L398</f>
        <v>263</v>
      </c>
      <c r="M396" s="1552">
        <f t="shared" si="114"/>
        <v>263</v>
      </c>
      <c r="N396" s="1585">
        <f t="shared" si="114"/>
        <v>0</v>
      </c>
      <c r="O396" s="1091">
        <f t="shared" si="114"/>
        <v>0</v>
      </c>
      <c r="P396" s="1065">
        <f t="shared" si="114"/>
        <v>0</v>
      </c>
      <c r="Q396" s="1552">
        <f t="shared" si="114"/>
        <v>0</v>
      </c>
      <c r="R396" s="1585">
        <f t="shared" si="114"/>
        <v>0</v>
      </c>
    </row>
    <row r="397" spans="1:256" ht="18" hidden="1" customHeight="1" x14ac:dyDescent="0.25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3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3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5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5">L401</f>
        <v>130.1</v>
      </c>
      <c r="M400" s="1555">
        <f t="shared" si="115"/>
        <v>130.1</v>
      </c>
      <c r="N400" s="1588">
        <f t="shared" si="115"/>
        <v>0</v>
      </c>
      <c r="O400" s="1095">
        <f t="shared" si="115"/>
        <v>0</v>
      </c>
      <c r="P400" s="1058">
        <f t="shared" si="115"/>
        <v>0</v>
      </c>
      <c r="Q400" s="1555">
        <f t="shared" si="115"/>
        <v>0</v>
      </c>
      <c r="R400" s="1588">
        <f t="shared" si="115"/>
        <v>0</v>
      </c>
    </row>
    <row r="401" spans="1:256" ht="15" hidden="1" customHeight="1" x14ac:dyDescent="0.3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5" hidden="1" customHeight="1" x14ac:dyDescent="0.25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3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3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ht="13" x14ac:dyDescent="0.25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6" x14ac:dyDescent="0.3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2" x14ac:dyDescent="0.25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6">L408+L410</f>
        <v>546.70000000000005</v>
      </c>
      <c r="M407" s="1555">
        <f t="shared" si="116"/>
        <v>546.70000000000005</v>
      </c>
      <c r="N407" s="1785">
        <f t="shared" si="116"/>
        <v>7.1</v>
      </c>
      <c r="O407" s="1786">
        <f t="shared" si="116"/>
        <v>37.200000000000003</v>
      </c>
      <c r="P407" s="1787">
        <f t="shared" si="116"/>
        <v>37.200000000000003</v>
      </c>
      <c r="Q407" s="1788">
        <f t="shared" si="116"/>
        <v>7.1</v>
      </c>
      <c r="R407" s="1785">
        <f t="shared" si="116"/>
        <v>7.1</v>
      </c>
      <c r="S407" s="830">
        <v>-648.9</v>
      </c>
      <c r="T407" s="830">
        <v>-648.9</v>
      </c>
      <c r="U407" s="830">
        <v>-648.9</v>
      </c>
    </row>
    <row r="408" spans="1:256" ht="13" hidden="1" x14ac:dyDescent="0.3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5" hidden="1" customHeight="1" x14ac:dyDescent="0.25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6" x14ac:dyDescent="0.25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9" x14ac:dyDescent="0.25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5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7">L413</f>
        <v>99.305000000000007</v>
      </c>
      <c r="M412" s="1552">
        <f t="shared" si="117"/>
        <v>99.305000000000007</v>
      </c>
      <c r="N412" s="1585">
        <f t="shared" si="117"/>
        <v>0</v>
      </c>
      <c r="O412" s="1091">
        <f t="shared" si="117"/>
        <v>0</v>
      </c>
      <c r="P412" s="1065">
        <f t="shared" si="117"/>
        <v>0</v>
      </c>
      <c r="Q412" s="1552">
        <f t="shared" si="117"/>
        <v>0</v>
      </c>
      <c r="R412" s="1585">
        <f t="shared" si="117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7"/>
        <v>99.305000000000007</v>
      </c>
      <c r="M413" s="1552">
        <f t="shared" si="117"/>
        <v>99.305000000000007</v>
      </c>
      <c r="N413" s="1585">
        <f t="shared" si="117"/>
        <v>0</v>
      </c>
      <c r="O413" s="1091">
        <f t="shared" si="117"/>
        <v>0</v>
      </c>
      <c r="P413" s="1065">
        <f t="shared" si="117"/>
        <v>0</v>
      </c>
      <c r="Q413" s="1552">
        <f t="shared" si="117"/>
        <v>0</v>
      </c>
      <c r="R413" s="1585">
        <f t="shared" si="117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5" hidden="1" customHeight="1" x14ac:dyDescent="0.25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7"/>
        <v>99.305000000000007</v>
      </c>
      <c r="M414" s="1556">
        <f t="shared" si="117"/>
        <v>99.305000000000007</v>
      </c>
      <c r="N414" s="1589">
        <f t="shared" si="117"/>
        <v>0</v>
      </c>
      <c r="O414" s="1096">
        <f t="shared" si="117"/>
        <v>0</v>
      </c>
      <c r="P414" s="1062">
        <f t="shared" si="117"/>
        <v>0</v>
      </c>
      <c r="Q414" s="1556">
        <f t="shared" si="117"/>
        <v>0</v>
      </c>
      <c r="R414" s="1589">
        <f t="shared" si="117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3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7"/>
        <v>0</v>
      </c>
      <c r="O415" s="1096">
        <f t="shared" si="117"/>
        <v>0</v>
      </c>
      <c r="P415" s="1062">
        <f t="shared" si="117"/>
        <v>0</v>
      </c>
      <c r="Q415" s="1556">
        <f t="shared" si="117"/>
        <v>0</v>
      </c>
      <c r="R415" s="1589">
        <f t="shared" si="117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3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5" hidden="1" customHeight="1" x14ac:dyDescent="0.25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8">O418</f>
        <v>659.56200000000001</v>
      </c>
      <c r="P417" s="1062">
        <f t="shared" si="118"/>
        <v>725.51900000000001</v>
      </c>
      <c r="Q417" s="1556">
        <f t="shared" ref="Q417:R420" si="119">Q418</f>
        <v>0</v>
      </c>
      <c r="R417" s="1589">
        <f t="shared" si="119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5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8"/>
        <v>659.56200000000001</v>
      </c>
      <c r="P418" s="1062">
        <f t="shared" si="118"/>
        <v>725.51900000000001</v>
      </c>
      <c r="Q418" s="1556">
        <f t="shared" si="119"/>
        <v>0</v>
      </c>
      <c r="R418" s="1589">
        <f t="shared" si="119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5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8"/>
        <v>659.56200000000001</v>
      </c>
      <c r="P419" s="1062">
        <f t="shared" si="118"/>
        <v>725.51900000000001</v>
      </c>
      <c r="Q419" s="1556">
        <f t="shared" si="119"/>
        <v>0</v>
      </c>
      <c r="R419" s="1589">
        <f t="shared" si="119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3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8"/>
        <v>659.56200000000001</v>
      </c>
      <c r="P420" s="1062">
        <f t="shared" si="118"/>
        <v>725.51900000000001</v>
      </c>
      <c r="Q420" s="1556">
        <f t="shared" si="119"/>
        <v>0</v>
      </c>
      <c r="R420" s="1589">
        <f t="shared" si="119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3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2" x14ac:dyDescent="0.25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20">N423</f>
        <v>1512.6</v>
      </c>
      <c r="O422" s="1107">
        <f t="shared" si="120"/>
        <v>1627.663</v>
      </c>
      <c r="P422" s="1064">
        <f t="shared" si="120"/>
        <v>1782.7329999999999</v>
      </c>
      <c r="Q422" s="1563">
        <f t="shared" si="120"/>
        <v>1573.104</v>
      </c>
      <c r="R422" s="1597">
        <f t="shared" si="120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5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20"/>
        <v>1512.6</v>
      </c>
      <c r="O423" s="1087">
        <f t="shared" si="120"/>
        <v>1627.663</v>
      </c>
      <c r="P423" s="1061">
        <f t="shared" si="120"/>
        <v>1782.7329999999999</v>
      </c>
      <c r="Q423" s="1550">
        <f t="shared" si="120"/>
        <v>1573.104</v>
      </c>
      <c r="R423" s="1582">
        <f t="shared" si="120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26" x14ac:dyDescent="0.25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20"/>
        <v>1512.6</v>
      </c>
      <c r="O424" s="1097">
        <f t="shared" si="120"/>
        <v>1627.663</v>
      </c>
      <c r="P424" s="1060">
        <f t="shared" si="120"/>
        <v>1782.7329999999999</v>
      </c>
      <c r="Q424" s="1557">
        <f t="shared" si="120"/>
        <v>1573.104</v>
      </c>
      <c r="R424" s="1590">
        <f t="shared" si="120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13" x14ac:dyDescent="0.3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20"/>
        <v>1512.6</v>
      </c>
      <c r="O425" s="1097">
        <f t="shared" si="120"/>
        <v>1627.663</v>
      </c>
      <c r="P425" s="1060">
        <f t="shared" si="120"/>
        <v>1782.7329999999999</v>
      </c>
      <c r="Q425" s="1557">
        <f t="shared" si="120"/>
        <v>1573.104</v>
      </c>
      <c r="R425" s="1590">
        <f t="shared" si="120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9" x14ac:dyDescent="0.3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6" x14ac:dyDescent="0.25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21">N428</f>
        <v>894.24400000000003</v>
      </c>
      <c r="O427" s="1091">
        <f t="shared" si="121"/>
        <v>213.5</v>
      </c>
      <c r="P427" s="1065">
        <f t="shared" si="121"/>
        <v>213.5</v>
      </c>
      <c r="Q427" s="1552">
        <f t="shared" si="121"/>
        <v>500</v>
      </c>
      <c r="R427" s="1585">
        <f t="shared" si="121"/>
        <v>600</v>
      </c>
    </row>
    <row r="428" spans="1:256" ht="13" x14ac:dyDescent="0.25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21"/>
        <v>894.24400000000003</v>
      </c>
      <c r="O428" s="1069">
        <f t="shared" si="121"/>
        <v>213.5</v>
      </c>
      <c r="P428" s="1063">
        <f t="shared" si="121"/>
        <v>213.5</v>
      </c>
      <c r="Q428" s="1125">
        <f t="shared" si="121"/>
        <v>500</v>
      </c>
      <c r="R428" s="1584">
        <f t="shared" si="121"/>
        <v>600</v>
      </c>
    </row>
    <row r="429" spans="1:256" ht="13" x14ac:dyDescent="0.25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ht="13" x14ac:dyDescent="0.25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22">O431</f>
        <v>178.5</v>
      </c>
      <c r="P430" s="1063">
        <f t="shared" si="122"/>
        <v>178.5</v>
      </c>
      <c r="Q430" s="1125">
        <f>Q431+Q435</f>
        <v>500</v>
      </c>
      <c r="R430" s="1584">
        <f>R431+R435</f>
        <v>600</v>
      </c>
    </row>
    <row r="431" spans="1:256" ht="26" x14ac:dyDescent="0.25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22"/>
        <v>844.24400000000003</v>
      </c>
      <c r="O431" s="1069">
        <f t="shared" si="122"/>
        <v>178.5</v>
      </c>
      <c r="P431" s="1063">
        <f t="shared" si="122"/>
        <v>178.5</v>
      </c>
      <c r="Q431" s="1125">
        <f t="shared" si="122"/>
        <v>400</v>
      </c>
      <c r="R431" s="1584">
        <f t="shared" si="122"/>
        <v>500</v>
      </c>
    </row>
    <row r="432" spans="1:256" ht="13" x14ac:dyDescent="0.25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t="13" hidden="1" x14ac:dyDescent="0.25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t="13" hidden="1" x14ac:dyDescent="0.25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ht="13" x14ac:dyDescent="0.3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ht="13" x14ac:dyDescent="0.25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9" x14ac:dyDescent="0.3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6" hidden="1" x14ac:dyDescent="0.3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t="13" hidden="1" x14ac:dyDescent="0.3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ht="13" x14ac:dyDescent="0.3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23">N444</f>
        <v>615.01599999999996</v>
      </c>
      <c r="O443" s="1088">
        <f t="shared" si="123"/>
        <v>531.38</v>
      </c>
      <c r="P443" s="1059">
        <f t="shared" si="123"/>
        <v>584.51300000000003</v>
      </c>
      <c r="Q443" s="1551">
        <f t="shared" si="123"/>
        <v>639.61699999999996</v>
      </c>
      <c r="R443" s="1583">
        <f t="shared" si="123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5" customHeight="1" x14ac:dyDescent="0.3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23"/>
        <v>615.01599999999996</v>
      </c>
      <c r="O444" s="1069">
        <f t="shared" si="123"/>
        <v>531.38</v>
      </c>
      <c r="P444" s="1063">
        <f t="shared" si="123"/>
        <v>584.51300000000003</v>
      </c>
      <c r="Q444" s="1125">
        <f t="shared" si="123"/>
        <v>639.61699999999996</v>
      </c>
      <c r="R444" s="1584">
        <f t="shared" si="123"/>
        <v>665.20100000000002</v>
      </c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9" hidden="1" x14ac:dyDescent="0.3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t="13" hidden="1" x14ac:dyDescent="0.3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t="13" hidden="1" x14ac:dyDescent="0.3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5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4">L450</f>
        <v>2000</v>
      </c>
      <c r="M449" s="1550">
        <f t="shared" si="124"/>
        <v>2000</v>
      </c>
      <c r="N449" s="1597">
        <f t="shared" si="124"/>
        <v>2870</v>
      </c>
      <c r="O449" s="1107">
        <f t="shared" si="124"/>
        <v>2500.6</v>
      </c>
      <c r="P449" s="1064">
        <f t="shared" si="124"/>
        <v>2701.74</v>
      </c>
      <c r="Q449" s="1563">
        <f t="shared" si="124"/>
        <v>2900</v>
      </c>
      <c r="R449" s="1597">
        <f t="shared" si="124"/>
        <v>2980</v>
      </c>
    </row>
    <row r="450" spans="1:24" ht="13" x14ac:dyDescent="0.3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ht="13" x14ac:dyDescent="0.3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9" hidden="1" x14ac:dyDescent="0.25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6" hidden="1" x14ac:dyDescent="0.25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t="13" hidden="1" x14ac:dyDescent="0.25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6" hidden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t="13" hidden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t="13" hidden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6" hidden="1" x14ac:dyDescent="0.25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6" hidden="1" x14ac:dyDescent="0.3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t="13" hidden="1" x14ac:dyDescent="0.3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t="13" hidden="1" x14ac:dyDescent="0.3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5">L462</f>
        <v>0</v>
      </c>
      <c r="M461" s="1552">
        <f t="shared" si="125"/>
        <v>0</v>
      </c>
      <c r="N461" s="1585">
        <f t="shared" si="125"/>
        <v>0</v>
      </c>
      <c r="O461" s="1091">
        <f t="shared" si="125"/>
        <v>0</v>
      </c>
      <c r="P461" s="1065">
        <f t="shared" si="125"/>
        <v>0</v>
      </c>
      <c r="Q461" s="1552">
        <f t="shared" si="125"/>
        <v>0</v>
      </c>
      <c r="R461" s="1585">
        <f t="shared" si="125"/>
        <v>0</v>
      </c>
      <c r="S461" s="84"/>
      <c r="T461" s="84"/>
      <c r="U461" s="84"/>
      <c r="V461" s="84"/>
      <c r="W461" s="84"/>
      <c r="X461" s="84"/>
    </row>
    <row r="462" spans="1:24" s="83" customFormat="1" ht="26" hidden="1" x14ac:dyDescent="0.3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t="13" hidden="1" x14ac:dyDescent="0.3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t="13" hidden="1" x14ac:dyDescent="0.3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6">L465</f>
        <v>64.8</v>
      </c>
      <c r="M464" s="1552">
        <f t="shared" si="126"/>
        <v>64.8</v>
      </c>
      <c r="N464" s="1585">
        <f t="shared" si="126"/>
        <v>0</v>
      </c>
      <c r="O464" s="1091">
        <f t="shared" si="126"/>
        <v>0</v>
      </c>
      <c r="P464" s="1065">
        <f t="shared" si="126"/>
        <v>0</v>
      </c>
      <c r="Q464" s="1552">
        <f t="shared" si="126"/>
        <v>0</v>
      </c>
      <c r="R464" s="1585">
        <f t="shared" si="126"/>
        <v>0</v>
      </c>
      <c r="S464" s="84"/>
      <c r="T464" s="84"/>
      <c r="U464" s="84"/>
      <c r="V464" s="84"/>
      <c r="W464" s="84"/>
      <c r="X464" s="84"/>
    </row>
    <row r="465" spans="1:24" s="83" customFormat="1" ht="26" hidden="1" x14ac:dyDescent="0.3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t="13" hidden="1" x14ac:dyDescent="0.3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ht="13" x14ac:dyDescent="0.3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ht="13" x14ac:dyDescent="0.3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ht="13" x14ac:dyDescent="0.3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ht="13" x14ac:dyDescent="0.3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ht="13" x14ac:dyDescent="0.3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ht="13" x14ac:dyDescent="0.3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9" hidden="1" x14ac:dyDescent="0.3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t="13" hidden="1" x14ac:dyDescent="0.3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t="13" hidden="1" x14ac:dyDescent="0.3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13" x14ac:dyDescent="0.3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7">L477</f>
        <v>0</v>
      </c>
      <c r="M476" s="1552">
        <f t="shared" si="127"/>
        <v>0</v>
      </c>
      <c r="N476" s="1597">
        <f t="shared" si="127"/>
        <v>905.2</v>
      </c>
      <c r="O476" s="1107">
        <f t="shared" si="127"/>
        <v>0</v>
      </c>
      <c r="P476" s="1064">
        <f t="shared" si="127"/>
        <v>0</v>
      </c>
      <c r="Q476" s="1563">
        <f t="shared" si="127"/>
        <v>504</v>
      </c>
      <c r="R476" s="1597">
        <f t="shared" si="127"/>
        <v>304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ht="13" x14ac:dyDescent="0.3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9" hidden="1" x14ac:dyDescent="0.3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8">L480</f>
        <v>85</v>
      </c>
      <c r="M479" s="1553">
        <f t="shared" si="128"/>
        <v>85</v>
      </c>
      <c r="N479" s="1586">
        <f t="shared" si="128"/>
        <v>0</v>
      </c>
      <c r="O479" s="205">
        <f t="shared" si="128"/>
        <v>0</v>
      </c>
      <c r="P479" s="51">
        <f t="shared" si="128"/>
        <v>0</v>
      </c>
      <c r="Q479" s="1553">
        <f t="shared" si="128"/>
        <v>0</v>
      </c>
      <c r="R479" s="1586">
        <f t="shared" si="128"/>
        <v>0</v>
      </c>
      <c r="S479" s="84"/>
      <c r="T479" s="84"/>
      <c r="U479" s="84"/>
      <c r="V479" s="84"/>
      <c r="W479" s="84"/>
      <c r="X479" s="84"/>
    </row>
    <row r="480" spans="1:24" s="83" customFormat="1" ht="39" hidden="1" x14ac:dyDescent="0.3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9">L483</f>
        <v>85</v>
      </c>
      <c r="M480" s="1553">
        <f t="shared" si="129"/>
        <v>85</v>
      </c>
      <c r="N480" s="1586">
        <f t="shared" si="129"/>
        <v>0</v>
      </c>
      <c r="O480" s="205">
        <f t="shared" si="129"/>
        <v>0</v>
      </c>
      <c r="P480" s="51">
        <f t="shared" si="129"/>
        <v>0</v>
      </c>
      <c r="Q480" s="1553">
        <f t="shared" si="129"/>
        <v>0</v>
      </c>
      <c r="R480" s="1586">
        <f t="shared" si="129"/>
        <v>0</v>
      </c>
      <c r="S480" s="84"/>
      <c r="T480" s="84"/>
      <c r="U480" s="84"/>
      <c r="V480" s="84"/>
      <c r="W480" s="84"/>
      <c r="X480" s="84"/>
    </row>
    <row r="481" spans="1:29" s="83" customFormat="1" ht="26.5" hidden="1" customHeight="1" x14ac:dyDescent="0.3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2713" t="s">
        <v>20</v>
      </c>
      <c r="H481" s="2714"/>
      <c r="I481" s="2714"/>
      <c r="J481" s="2715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5" hidden="1" customHeight="1" x14ac:dyDescent="0.25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2713" t="s">
        <v>17</v>
      </c>
      <c r="H482" s="2714"/>
      <c r="I482" s="2714"/>
      <c r="J482" s="2715"/>
      <c r="K482" s="41"/>
      <c r="L482" s="2"/>
      <c r="M482" s="2"/>
      <c r="N482" s="1610"/>
      <c r="O482" s="2"/>
      <c r="P482" s="2"/>
      <c r="Q482" s="2"/>
      <c r="R482" s="1610"/>
    </row>
    <row r="483" spans="1:29" ht="26" hidden="1" x14ac:dyDescent="0.3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t="13" hidden="1" x14ac:dyDescent="0.3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3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ht="13" x14ac:dyDescent="0.3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ht="13" x14ac:dyDescent="0.3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t="13" hidden="1" x14ac:dyDescent="0.25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30">J489</f>
        <v>153.32</v>
      </c>
      <c r="K488" s="1063">
        <f t="shared" si="130"/>
        <v>172</v>
      </c>
      <c r="L488" s="1063">
        <f t="shared" si="130"/>
        <v>172</v>
      </c>
      <c r="M488" s="1125">
        <f t="shared" si="130"/>
        <v>172</v>
      </c>
      <c r="N488" s="1584">
        <f t="shared" si="130"/>
        <v>0</v>
      </c>
      <c r="O488" s="1069">
        <f t="shared" si="130"/>
        <v>554.52</v>
      </c>
      <c r="P488" s="1063">
        <f t="shared" si="130"/>
        <v>576.45699999999999</v>
      </c>
      <c r="Q488" s="1125">
        <f t="shared" si="130"/>
        <v>0</v>
      </c>
      <c r="R488" s="1584">
        <f t="shared" si="130"/>
        <v>0</v>
      </c>
    </row>
    <row r="489" spans="1:29" ht="39" hidden="1" x14ac:dyDescent="0.25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" hidden="1" x14ac:dyDescent="0.25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31">N491</f>
        <v>0</v>
      </c>
      <c r="O490" s="1091">
        <f t="shared" si="131"/>
        <v>0</v>
      </c>
      <c r="P490" s="1065">
        <f t="shared" si="131"/>
        <v>0</v>
      </c>
      <c r="Q490" s="1552">
        <f t="shared" si="131"/>
        <v>0</v>
      </c>
      <c r="R490" s="1585">
        <f t="shared" si="131"/>
        <v>0</v>
      </c>
    </row>
    <row r="491" spans="1:29" ht="25.5" hidden="1" thickBot="1" x14ac:dyDescent="0.3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31"/>
        <v>0</v>
      </c>
      <c r="O491" s="1069">
        <f t="shared" si="131"/>
        <v>0</v>
      </c>
      <c r="P491" s="1063">
        <f t="shared" si="131"/>
        <v>0</v>
      </c>
      <c r="Q491" s="1125">
        <f t="shared" si="131"/>
        <v>0</v>
      </c>
      <c r="R491" s="1584">
        <f t="shared" si="131"/>
        <v>0</v>
      </c>
    </row>
    <row r="492" spans="1:29" ht="13" hidden="1" x14ac:dyDescent="0.3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6" hidden="1" x14ac:dyDescent="0.25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32">N494</f>
        <v>0</v>
      </c>
      <c r="O493" s="1079">
        <f t="shared" si="132"/>
        <v>0</v>
      </c>
      <c r="P493" s="1132">
        <f t="shared" si="132"/>
        <v>0</v>
      </c>
      <c r="Q493" s="1644">
        <f t="shared" si="132"/>
        <v>0</v>
      </c>
      <c r="R493" s="1613">
        <f t="shared" si="132"/>
        <v>0</v>
      </c>
    </row>
    <row r="494" spans="1:29" ht="26" hidden="1" x14ac:dyDescent="0.25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32"/>
        <v>0</v>
      </c>
      <c r="O494" s="1079">
        <f t="shared" si="132"/>
        <v>0</v>
      </c>
      <c r="P494" s="1132">
        <f t="shared" si="132"/>
        <v>0</v>
      </c>
      <c r="Q494" s="1644">
        <f t="shared" si="132"/>
        <v>0</v>
      </c>
      <c r="R494" s="1613">
        <f t="shared" si="132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t="13" hidden="1" x14ac:dyDescent="0.25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9" hidden="1" x14ac:dyDescent="0.25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33">N497</f>
        <v>0</v>
      </c>
      <c r="O496" s="1079">
        <f t="shared" si="133"/>
        <v>0</v>
      </c>
      <c r="P496" s="1132">
        <f t="shared" si="133"/>
        <v>0</v>
      </c>
      <c r="Q496" s="1644">
        <f t="shared" si="133"/>
        <v>0</v>
      </c>
      <c r="R496" s="1613">
        <f t="shared" si="133"/>
        <v>0</v>
      </c>
    </row>
    <row r="497" spans="1:18" ht="26" hidden="1" x14ac:dyDescent="0.25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33"/>
        <v>0</v>
      </c>
      <c r="O497" s="1079">
        <f t="shared" si="133"/>
        <v>0</v>
      </c>
      <c r="P497" s="1132">
        <f t="shared" si="133"/>
        <v>0</v>
      </c>
      <c r="Q497" s="1644">
        <f t="shared" si="133"/>
        <v>0</v>
      </c>
      <c r="R497" s="1613">
        <f t="shared" si="133"/>
        <v>0</v>
      </c>
    </row>
    <row r="498" spans="1:18" ht="13" hidden="1" x14ac:dyDescent="0.25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6" hidden="1" x14ac:dyDescent="0.25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t="13" hidden="1" x14ac:dyDescent="0.3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t="13" hidden="1" x14ac:dyDescent="0.25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6" hidden="1" x14ac:dyDescent="0.25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4">L503</f>
        <v>0</v>
      </c>
      <c r="M502" s="1570">
        <f t="shared" si="134"/>
        <v>0</v>
      </c>
      <c r="N502" s="1616">
        <f t="shared" si="134"/>
        <v>0</v>
      </c>
      <c r="O502" s="63">
        <f t="shared" si="134"/>
        <v>0</v>
      </c>
      <c r="P502" s="63">
        <f t="shared" si="134"/>
        <v>0</v>
      </c>
      <c r="Q502" s="1647">
        <f t="shared" si="134"/>
        <v>0</v>
      </c>
      <c r="R502" s="1616">
        <f t="shared" si="134"/>
        <v>0</v>
      </c>
    </row>
    <row r="503" spans="1:18" ht="26" hidden="1" x14ac:dyDescent="0.25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t="13" hidden="1" x14ac:dyDescent="0.3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5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5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5" hidden="1" customHeight="1" x14ac:dyDescent="0.3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5" hidden="1" customHeight="1" x14ac:dyDescent="0.25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5">L509</f>
        <v>85</v>
      </c>
      <c r="M508" s="1553">
        <f t="shared" si="135"/>
        <v>85</v>
      </c>
      <c r="N508" s="1586">
        <f t="shared" si="135"/>
        <v>0</v>
      </c>
      <c r="O508" s="205">
        <f t="shared" si="135"/>
        <v>0</v>
      </c>
      <c r="P508" s="51">
        <f t="shared" si="135"/>
        <v>0</v>
      </c>
      <c r="Q508" s="1553">
        <f t="shared" si="135"/>
        <v>0</v>
      </c>
      <c r="R508" s="1586">
        <f t="shared" si="135"/>
        <v>0</v>
      </c>
    </row>
    <row r="509" spans="1:18" ht="43.5" hidden="1" customHeight="1" x14ac:dyDescent="0.25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6">L512</f>
        <v>85</v>
      </c>
      <c r="M509" s="209">
        <f t="shared" si="136"/>
        <v>85</v>
      </c>
      <c r="N509" s="1595">
        <f t="shared" si="136"/>
        <v>0</v>
      </c>
      <c r="O509" s="791">
        <f t="shared" si="136"/>
        <v>0</v>
      </c>
      <c r="P509" s="47">
        <f t="shared" si="136"/>
        <v>0</v>
      </c>
      <c r="Q509" s="209">
        <f t="shared" si="136"/>
        <v>0</v>
      </c>
      <c r="R509" s="1595">
        <f t="shared" si="136"/>
        <v>0</v>
      </c>
    </row>
    <row r="510" spans="1:18" ht="60.75" hidden="1" customHeight="1" x14ac:dyDescent="0.25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2713" t="s">
        <v>20</v>
      </c>
      <c r="H510" s="2714"/>
      <c r="I510" s="2714"/>
      <c r="J510" s="2715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5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2713" t="s">
        <v>17</v>
      </c>
      <c r="H511" s="2714"/>
      <c r="I511" s="2714"/>
      <c r="J511" s="2715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3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5" hidden="1" customHeight="1" x14ac:dyDescent="0.3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3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3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2" hidden="1" x14ac:dyDescent="0.3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3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3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3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3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3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3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3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5" customHeight="1" x14ac:dyDescent="0.3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3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3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3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5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5" hidden="1" customHeight="1" x14ac:dyDescent="0.25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3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3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3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3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3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3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3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3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ht="13" x14ac:dyDescent="0.3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7">N539</f>
        <v>947.01</v>
      </c>
      <c r="O538" s="28">
        <f t="shared" si="137"/>
        <v>799.11500000000001</v>
      </c>
      <c r="P538" s="28">
        <f t="shared" si="137"/>
        <v>895.01</v>
      </c>
      <c r="Q538" s="1643">
        <f t="shared" si="137"/>
        <v>947.01</v>
      </c>
      <c r="R538" s="1612">
        <f t="shared" si="137"/>
        <v>947.01</v>
      </c>
      <c r="X538" s="1"/>
    </row>
    <row r="539" spans="1:24" ht="16.899999999999999" customHeight="1" x14ac:dyDescent="0.3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7"/>
        <v>947.01</v>
      </c>
      <c r="O539" s="28">
        <f t="shared" si="137"/>
        <v>799.11500000000001</v>
      </c>
      <c r="P539" s="28">
        <f t="shared" si="137"/>
        <v>895.01</v>
      </c>
      <c r="Q539" s="1569">
        <f t="shared" si="137"/>
        <v>947.01</v>
      </c>
      <c r="R539" s="1611">
        <f t="shared" si="137"/>
        <v>947.01</v>
      </c>
      <c r="X539" s="1"/>
    </row>
    <row r="540" spans="1:24" ht="12.75" customHeight="1" thickBot="1" x14ac:dyDescent="0.3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6" hidden="1" x14ac:dyDescent="0.3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8">L542+L544</f>
        <v>605.88300000000004</v>
      </c>
      <c r="M541" s="1148">
        <f t="shared" si="138"/>
        <v>605.88300000000004</v>
      </c>
      <c r="N541" s="1149">
        <f t="shared" si="138"/>
        <v>0</v>
      </c>
      <c r="O541" s="1775">
        <f t="shared" si="138"/>
        <v>600.79999999999995</v>
      </c>
      <c r="P541" s="1146">
        <f t="shared" si="138"/>
        <v>600.79999999999995</v>
      </c>
      <c r="Q541" s="1149">
        <f t="shared" si="138"/>
        <v>0</v>
      </c>
      <c r="R541" s="1149">
        <f t="shared" si="138"/>
        <v>0</v>
      </c>
      <c r="X541" s="1"/>
    </row>
    <row r="542" spans="1:24" ht="13" hidden="1" x14ac:dyDescent="0.3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t="13" hidden="1" x14ac:dyDescent="0.3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6" hidden="1" x14ac:dyDescent="0.3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3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5">
      <c r="X546" s="1"/>
    </row>
    <row r="547" spans="1:24" x14ac:dyDescent="0.25">
      <c r="S547" s="2">
        <v>170.6</v>
      </c>
      <c r="T547" s="2">
        <v>152.1</v>
      </c>
      <c r="U547" s="2">
        <v>938.1</v>
      </c>
    </row>
  </sheetData>
  <mergeCells count="16"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  <mergeCell ref="G511:J511"/>
    <mergeCell ref="G127:J127"/>
    <mergeCell ref="G128:J128"/>
    <mergeCell ref="G481:J481"/>
    <mergeCell ref="G482:J482"/>
    <mergeCell ref="G510:J510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448" hidden="1" customWidth="1"/>
    <col min="11" max="11" width="14.7265625" style="448" hidden="1" customWidth="1"/>
    <col min="12" max="12" width="15.81640625" style="448" hidden="1" customWidth="1"/>
    <col min="13" max="13" width="18.7265625" style="448" hidden="1" customWidth="1"/>
    <col min="14" max="14" width="22.1796875" style="448" customWidth="1"/>
    <col min="15" max="16" width="22.1796875" style="448" hidden="1" customWidth="1"/>
    <col min="17" max="17" width="10.81640625" style="2" customWidth="1"/>
    <col min="18" max="24" width="9.1796875" style="2" customWidth="1"/>
    <col min="25" max="256" width="9.1796875" style="1"/>
    <col min="257" max="257" width="8.81640625" style="1" customWidth="1"/>
    <col min="258" max="258" width="60.26953125" style="1" customWidth="1"/>
    <col min="259" max="261" width="0" style="1" hidden="1" customWidth="1"/>
    <col min="262" max="262" width="13.26953125" style="1" customWidth="1"/>
    <col min="263" max="264" width="10.26953125" style="1" customWidth="1"/>
    <col min="265" max="265" width="10.453125" style="1" customWidth="1"/>
    <col min="266" max="269" width="0" style="1" hidden="1" customWidth="1"/>
    <col min="270" max="270" width="22.1796875" style="1" customWidth="1"/>
    <col min="271" max="272" width="0" style="1" hidden="1" customWidth="1"/>
    <col min="273" max="280" width="9.1796875" style="1" customWidth="1"/>
    <col min="281" max="512" width="9.1796875" style="1"/>
    <col min="513" max="513" width="8.81640625" style="1" customWidth="1"/>
    <col min="514" max="514" width="60.26953125" style="1" customWidth="1"/>
    <col min="515" max="517" width="0" style="1" hidden="1" customWidth="1"/>
    <col min="518" max="518" width="13.26953125" style="1" customWidth="1"/>
    <col min="519" max="520" width="10.26953125" style="1" customWidth="1"/>
    <col min="521" max="521" width="10.453125" style="1" customWidth="1"/>
    <col min="522" max="525" width="0" style="1" hidden="1" customWidth="1"/>
    <col min="526" max="526" width="22.1796875" style="1" customWidth="1"/>
    <col min="527" max="528" width="0" style="1" hidden="1" customWidth="1"/>
    <col min="529" max="536" width="9.1796875" style="1" customWidth="1"/>
    <col min="537" max="768" width="9.1796875" style="1"/>
    <col min="769" max="769" width="8.81640625" style="1" customWidth="1"/>
    <col min="770" max="770" width="60.26953125" style="1" customWidth="1"/>
    <col min="771" max="773" width="0" style="1" hidden="1" customWidth="1"/>
    <col min="774" max="774" width="13.26953125" style="1" customWidth="1"/>
    <col min="775" max="776" width="10.26953125" style="1" customWidth="1"/>
    <col min="777" max="777" width="10.453125" style="1" customWidth="1"/>
    <col min="778" max="781" width="0" style="1" hidden="1" customWidth="1"/>
    <col min="782" max="782" width="22.1796875" style="1" customWidth="1"/>
    <col min="783" max="784" width="0" style="1" hidden="1" customWidth="1"/>
    <col min="785" max="792" width="9.1796875" style="1" customWidth="1"/>
    <col min="793" max="1024" width="9.1796875" style="1"/>
    <col min="1025" max="1025" width="8.81640625" style="1" customWidth="1"/>
    <col min="1026" max="1026" width="60.26953125" style="1" customWidth="1"/>
    <col min="1027" max="1029" width="0" style="1" hidden="1" customWidth="1"/>
    <col min="1030" max="1030" width="13.26953125" style="1" customWidth="1"/>
    <col min="1031" max="1032" width="10.26953125" style="1" customWidth="1"/>
    <col min="1033" max="1033" width="10.453125" style="1" customWidth="1"/>
    <col min="1034" max="1037" width="0" style="1" hidden="1" customWidth="1"/>
    <col min="1038" max="1038" width="22.1796875" style="1" customWidth="1"/>
    <col min="1039" max="1040" width="0" style="1" hidden="1" customWidth="1"/>
    <col min="1041" max="1048" width="9.1796875" style="1" customWidth="1"/>
    <col min="1049" max="1280" width="9.1796875" style="1"/>
    <col min="1281" max="1281" width="8.81640625" style="1" customWidth="1"/>
    <col min="1282" max="1282" width="60.26953125" style="1" customWidth="1"/>
    <col min="1283" max="1285" width="0" style="1" hidden="1" customWidth="1"/>
    <col min="1286" max="1286" width="13.26953125" style="1" customWidth="1"/>
    <col min="1287" max="1288" width="10.26953125" style="1" customWidth="1"/>
    <col min="1289" max="1289" width="10.453125" style="1" customWidth="1"/>
    <col min="1290" max="1293" width="0" style="1" hidden="1" customWidth="1"/>
    <col min="1294" max="1294" width="22.1796875" style="1" customWidth="1"/>
    <col min="1295" max="1296" width="0" style="1" hidden="1" customWidth="1"/>
    <col min="1297" max="1304" width="9.1796875" style="1" customWidth="1"/>
    <col min="1305" max="1536" width="9.1796875" style="1"/>
    <col min="1537" max="1537" width="8.81640625" style="1" customWidth="1"/>
    <col min="1538" max="1538" width="60.26953125" style="1" customWidth="1"/>
    <col min="1539" max="1541" width="0" style="1" hidden="1" customWidth="1"/>
    <col min="1542" max="1542" width="13.26953125" style="1" customWidth="1"/>
    <col min="1543" max="1544" width="10.26953125" style="1" customWidth="1"/>
    <col min="1545" max="1545" width="10.453125" style="1" customWidth="1"/>
    <col min="1546" max="1549" width="0" style="1" hidden="1" customWidth="1"/>
    <col min="1550" max="1550" width="22.1796875" style="1" customWidth="1"/>
    <col min="1551" max="1552" width="0" style="1" hidden="1" customWidth="1"/>
    <col min="1553" max="1560" width="9.1796875" style="1" customWidth="1"/>
    <col min="1561" max="1792" width="9.1796875" style="1"/>
    <col min="1793" max="1793" width="8.81640625" style="1" customWidth="1"/>
    <col min="1794" max="1794" width="60.26953125" style="1" customWidth="1"/>
    <col min="1795" max="1797" width="0" style="1" hidden="1" customWidth="1"/>
    <col min="1798" max="1798" width="13.26953125" style="1" customWidth="1"/>
    <col min="1799" max="1800" width="10.26953125" style="1" customWidth="1"/>
    <col min="1801" max="1801" width="10.453125" style="1" customWidth="1"/>
    <col min="1802" max="1805" width="0" style="1" hidden="1" customWidth="1"/>
    <col min="1806" max="1806" width="22.1796875" style="1" customWidth="1"/>
    <col min="1807" max="1808" width="0" style="1" hidden="1" customWidth="1"/>
    <col min="1809" max="1816" width="9.1796875" style="1" customWidth="1"/>
    <col min="1817" max="2048" width="9.1796875" style="1"/>
    <col min="2049" max="2049" width="8.81640625" style="1" customWidth="1"/>
    <col min="2050" max="2050" width="60.26953125" style="1" customWidth="1"/>
    <col min="2051" max="2053" width="0" style="1" hidden="1" customWidth="1"/>
    <col min="2054" max="2054" width="13.26953125" style="1" customWidth="1"/>
    <col min="2055" max="2056" width="10.26953125" style="1" customWidth="1"/>
    <col min="2057" max="2057" width="10.453125" style="1" customWidth="1"/>
    <col min="2058" max="2061" width="0" style="1" hidden="1" customWidth="1"/>
    <col min="2062" max="2062" width="22.1796875" style="1" customWidth="1"/>
    <col min="2063" max="2064" width="0" style="1" hidden="1" customWidth="1"/>
    <col min="2065" max="2072" width="9.1796875" style="1" customWidth="1"/>
    <col min="2073" max="2304" width="9.1796875" style="1"/>
    <col min="2305" max="2305" width="8.81640625" style="1" customWidth="1"/>
    <col min="2306" max="2306" width="60.26953125" style="1" customWidth="1"/>
    <col min="2307" max="2309" width="0" style="1" hidden="1" customWidth="1"/>
    <col min="2310" max="2310" width="13.26953125" style="1" customWidth="1"/>
    <col min="2311" max="2312" width="10.26953125" style="1" customWidth="1"/>
    <col min="2313" max="2313" width="10.453125" style="1" customWidth="1"/>
    <col min="2314" max="2317" width="0" style="1" hidden="1" customWidth="1"/>
    <col min="2318" max="2318" width="22.1796875" style="1" customWidth="1"/>
    <col min="2319" max="2320" width="0" style="1" hidden="1" customWidth="1"/>
    <col min="2321" max="2328" width="9.1796875" style="1" customWidth="1"/>
    <col min="2329" max="2560" width="9.1796875" style="1"/>
    <col min="2561" max="2561" width="8.81640625" style="1" customWidth="1"/>
    <col min="2562" max="2562" width="60.26953125" style="1" customWidth="1"/>
    <col min="2563" max="2565" width="0" style="1" hidden="1" customWidth="1"/>
    <col min="2566" max="2566" width="13.26953125" style="1" customWidth="1"/>
    <col min="2567" max="2568" width="10.26953125" style="1" customWidth="1"/>
    <col min="2569" max="2569" width="10.453125" style="1" customWidth="1"/>
    <col min="2570" max="2573" width="0" style="1" hidden="1" customWidth="1"/>
    <col min="2574" max="2574" width="22.1796875" style="1" customWidth="1"/>
    <col min="2575" max="2576" width="0" style="1" hidden="1" customWidth="1"/>
    <col min="2577" max="2584" width="9.1796875" style="1" customWidth="1"/>
    <col min="2585" max="2816" width="9.1796875" style="1"/>
    <col min="2817" max="2817" width="8.81640625" style="1" customWidth="1"/>
    <col min="2818" max="2818" width="60.26953125" style="1" customWidth="1"/>
    <col min="2819" max="2821" width="0" style="1" hidden="1" customWidth="1"/>
    <col min="2822" max="2822" width="13.26953125" style="1" customWidth="1"/>
    <col min="2823" max="2824" width="10.26953125" style="1" customWidth="1"/>
    <col min="2825" max="2825" width="10.453125" style="1" customWidth="1"/>
    <col min="2826" max="2829" width="0" style="1" hidden="1" customWidth="1"/>
    <col min="2830" max="2830" width="22.1796875" style="1" customWidth="1"/>
    <col min="2831" max="2832" width="0" style="1" hidden="1" customWidth="1"/>
    <col min="2833" max="2840" width="9.1796875" style="1" customWidth="1"/>
    <col min="2841" max="3072" width="9.1796875" style="1"/>
    <col min="3073" max="3073" width="8.81640625" style="1" customWidth="1"/>
    <col min="3074" max="3074" width="60.26953125" style="1" customWidth="1"/>
    <col min="3075" max="3077" width="0" style="1" hidden="1" customWidth="1"/>
    <col min="3078" max="3078" width="13.26953125" style="1" customWidth="1"/>
    <col min="3079" max="3080" width="10.26953125" style="1" customWidth="1"/>
    <col min="3081" max="3081" width="10.453125" style="1" customWidth="1"/>
    <col min="3082" max="3085" width="0" style="1" hidden="1" customWidth="1"/>
    <col min="3086" max="3086" width="22.1796875" style="1" customWidth="1"/>
    <col min="3087" max="3088" width="0" style="1" hidden="1" customWidth="1"/>
    <col min="3089" max="3096" width="9.1796875" style="1" customWidth="1"/>
    <col min="3097" max="3328" width="9.1796875" style="1"/>
    <col min="3329" max="3329" width="8.81640625" style="1" customWidth="1"/>
    <col min="3330" max="3330" width="60.26953125" style="1" customWidth="1"/>
    <col min="3331" max="3333" width="0" style="1" hidden="1" customWidth="1"/>
    <col min="3334" max="3334" width="13.26953125" style="1" customWidth="1"/>
    <col min="3335" max="3336" width="10.26953125" style="1" customWidth="1"/>
    <col min="3337" max="3337" width="10.453125" style="1" customWidth="1"/>
    <col min="3338" max="3341" width="0" style="1" hidden="1" customWidth="1"/>
    <col min="3342" max="3342" width="22.1796875" style="1" customWidth="1"/>
    <col min="3343" max="3344" width="0" style="1" hidden="1" customWidth="1"/>
    <col min="3345" max="3352" width="9.1796875" style="1" customWidth="1"/>
    <col min="3353" max="3584" width="9.1796875" style="1"/>
    <col min="3585" max="3585" width="8.81640625" style="1" customWidth="1"/>
    <col min="3586" max="3586" width="60.26953125" style="1" customWidth="1"/>
    <col min="3587" max="3589" width="0" style="1" hidden="1" customWidth="1"/>
    <col min="3590" max="3590" width="13.26953125" style="1" customWidth="1"/>
    <col min="3591" max="3592" width="10.26953125" style="1" customWidth="1"/>
    <col min="3593" max="3593" width="10.453125" style="1" customWidth="1"/>
    <col min="3594" max="3597" width="0" style="1" hidden="1" customWidth="1"/>
    <col min="3598" max="3598" width="22.1796875" style="1" customWidth="1"/>
    <col min="3599" max="3600" width="0" style="1" hidden="1" customWidth="1"/>
    <col min="3601" max="3608" width="9.1796875" style="1" customWidth="1"/>
    <col min="3609" max="3840" width="9.1796875" style="1"/>
    <col min="3841" max="3841" width="8.81640625" style="1" customWidth="1"/>
    <col min="3842" max="3842" width="60.26953125" style="1" customWidth="1"/>
    <col min="3843" max="3845" width="0" style="1" hidden="1" customWidth="1"/>
    <col min="3846" max="3846" width="13.26953125" style="1" customWidth="1"/>
    <col min="3847" max="3848" width="10.26953125" style="1" customWidth="1"/>
    <col min="3849" max="3849" width="10.453125" style="1" customWidth="1"/>
    <col min="3850" max="3853" width="0" style="1" hidden="1" customWidth="1"/>
    <col min="3854" max="3854" width="22.1796875" style="1" customWidth="1"/>
    <col min="3855" max="3856" width="0" style="1" hidden="1" customWidth="1"/>
    <col min="3857" max="3864" width="9.1796875" style="1" customWidth="1"/>
    <col min="3865" max="4096" width="9.1796875" style="1"/>
    <col min="4097" max="4097" width="8.81640625" style="1" customWidth="1"/>
    <col min="4098" max="4098" width="60.26953125" style="1" customWidth="1"/>
    <col min="4099" max="4101" width="0" style="1" hidden="1" customWidth="1"/>
    <col min="4102" max="4102" width="13.26953125" style="1" customWidth="1"/>
    <col min="4103" max="4104" width="10.26953125" style="1" customWidth="1"/>
    <col min="4105" max="4105" width="10.453125" style="1" customWidth="1"/>
    <col min="4106" max="4109" width="0" style="1" hidden="1" customWidth="1"/>
    <col min="4110" max="4110" width="22.1796875" style="1" customWidth="1"/>
    <col min="4111" max="4112" width="0" style="1" hidden="1" customWidth="1"/>
    <col min="4113" max="4120" width="9.1796875" style="1" customWidth="1"/>
    <col min="4121" max="4352" width="9.1796875" style="1"/>
    <col min="4353" max="4353" width="8.81640625" style="1" customWidth="1"/>
    <col min="4354" max="4354" width="60.26953125" style="1" customWidth="1"/>
    <col min="4355" max="4357" width="0" style="1" hidden="1" customWidth="1"/>
    <col min="4358" max="4358" width="13.26953125" style="1" customWidth="1"/>
    <col min="4359" max="4360" width="10.26953125" style="1" customWidth="1"/>
    <col min="4361" max="4361" width="10.453125" style="1" customWidth="1"/>
    <col min="4362" max="4365" width="0" style="1" hidden="1" customWidth="1"/>
    <col min="4366" max="4366" width="22.1796875" style="1" customWidth="1"/>
    <col min="4367" max="4368" width="0" style="1" hidden="1" customWidth="1"/>
    <col min="4369" max="4376" width="9.1796875" style="1" customWidth="1"/>
    <col min="4377" max="4608" width="9.1796875" style="1"/>
    <col min="4609" max="4609" width="8.81640625" style="1" customWidth="1"/>
    <col min="4610" max="4610" width="60.26953125" style="1" customWidth="1"/>
    <col min="4611" max="4613" width="0" style="1" hidden="1" customWidth="1"/>
    <col min="4614" max="4614" width="13.26953125" style="1" customWidth="1"/>
    <col min="4615" max="4616" width="10.26953125" style="1" customWidth="1"/>
    <col min="4617" max="4617" width="10.453125" style="1" customWidth="1"/>
    <col min="4618" max="4621" width="0" style="1" hidden="1" customWidth="1"/>
    <col min="4622" max="4622" width="22.1796875" style="1" customWidth="1"/>
    <col min="4623" max="4624" width="0" style="1" hidden="1" customWidth="1"/>
    <col min="4625" max="4632" width="9.1796875" style="1" customWidth="1"/>
    <col min="4633" max="4864" width="9.1796875" style="1"/>
    <col min="4865" max="4865" width="8.81640625" style="1" customWidth="1"/>
    <col min="4866" max="4866" width="60.26953125" style="1" customWidth="1"/>
    <col min="4867" max="4869" width="0" style="1" hidden="1" customWidth="1"/>
    <col min="4870" max="4870" width="13.26953125" style="1" customWidth="1"/>
    <col min="4871" max="4872" width="10.26953125" style="1" customWidth="1"/>
    <col min="4873" max="4873" width="10.453125" style="1" customWidth="1"/>
    <col min="4874" max="4877" width="0" style="1" hidden="1" customWidth="1"/>
    <col min="4878" max="4878" width="22.1796875" style="1" customWidth="1"/>
    <col min="4879" max="4880" width="0" style="1" hidden="1" customWidth="1"/>
    <col min="4881" max="4888" width="9.1796875" style="1" customWidth="1"/>
    <col min="4889" max="5120" width="9.1796875" style="1"/>
    <col min="5121" max="5121" width="8.81640625" style="1" customWidth="1"/>
    <col min="5122" max="5122" width="60.26953125" style="1" customWidth="1"/>
    <col min="5123" max="5125" width="0" style="1" hidden="1" customWidth="1"/>
    <col min="5126" max="5126" width="13.26953125" style="1" customWidth="1"/>
    <col min="5127" max="5128" width="10.26953125" style="1" customWidth="1"/>
    <col min="5129" max="5129" width="10.453125" style="1" customWidth="1"/>
    <col min="5130" max="5133" width="0" style="1" hidden="1" customWidth="1"/>
    <col min="5134" max="5134" width="22.1796875" style="1" customWidth="1"/>
    <col min="5135" max="5136" width="0" style="1" hidden="1" customWidth="1"/>
    <col min="5137" max="5144" width="9.1796875" style="1" customWidth="1"/>
    <col min="5145" max="5376" width="9.1796875" style="1"/>
    <col min="5377" max="5377" width="8.81640625" style="1" customWidth="1"/>
    <col min="5378" max="5378" width="60.26953125" style="1" customWidth="1"/>
    <col min="5379" max="5381" width="0" style="1" hidden="1" customWidth="1"/>
    <col min="5382" max="5382" width="13.26953125" style="1" customWidth="1"/>
    <col min="5383" max="5384" width="10.26953125" style="1" customWidth="1"/>
    <col min="5385" max="5385" width="10.453125" style="1" customWidth="1"/>
    <col min="5386" max="5389" width="0" style="1" hidden="1" customWidth="1"/>
    <col min="5390" max="5390" width="22.1796875" style="1" customWidth="1"/>
    <col min="5391" max="5392" width="0" style="1" hidden="1" customWidth="1"/>
    <col min="5393" max="5400" width="9.1796875" style="1" customWidth="1"/>
    <col min="5401" max="5632" width="9.1796875" style="1"/>
    <col min="5633" max="5633" width="8.81640625" style="1" customWidth="1"/>
    <col min="5634" max="5634" width="60.26953125" style="1" customWidth="1"/>
    <col min="5635" max="5637" width="0" style="1" hidden="1" customWidth="1"/>
    <col min="5638" max="5638" width="13.26953125" style="1" customWidth="1"/>
    <col min="5639" max="5640" width="10.26953125" style="1" customWidth="1"/>
    <col min="5641" max="5641" width="10.453125" style="1" customWidth="1"/>
    <col min="5642" max="5645" width="0" style="1" hidden="1" customWidth="1"/>
    <col min="5646" max="5646" width="22.1796875" style="1" customWidth="1"/>
    <col min="5647" max="5648" width="0" style="1" hidden="1" customWidth="1"/>
    <col min="5649" max="5656" width="9.1796875" style="1" customWidth="1"/>
    <col min="5657" max="5888" width="9.1796875" style="1"/>
    <col min="5889" max="5889" width="8.81640625" style="1" customWidth="1"/>
    <col min="5890" max="5890" width="60.26953125" style="1" customWidth="1"/>
    <col min="5891" max="5893" width="0" style="1" hidden="1" customWidth="1"/>
    <col min="5894" max="5894" width="13.26953125" style="1" customWidth="1"/>
    <col min="5895" max="5896" width="10.26953125" style="1" customWidth="1"/>
    <col min="5897" max="5897" width="10.453125" style="1" customWidth="1"/>
    <col min="5898" max="5901" width="0" style="1" hidden="1" customWidth="1"/>
    <col min="5902" max="5902" width="22.1796875" style="1" customWidth="1"/>
    <col min="5903" max="5904" width="0" style="1" hidden="1" customWidth="1"/>
    <col min="5905" max="5912" width="9.1796875" style="1" customWidth="1"/>
    <col min="5913" max="6144" width="9.1796875" style="1"/>
    <col min="6145" max="6145" width="8.81640625" style="1" customWidth="1"/>
    <col min="6146" max="6146" width="60.26953125" style="1" customWidth="1"/>
    <col min="6147" max="6149" width="0" style="1" hidden="1" customWidth="1"/>
    <col min="6150" max="6150" width="13.26953125" style="1" customWidth="1"/>
    <col min="6151" max="6152" width="10.26953125" style="1" customWidth="1"/>
    <col min="6153" max="6153" width="10.453125" style="1" customWidth="1"/>
    <col min="6154" max="6157" width="0" style="1" hidden="1" customWidth="1"/>
    <col min="6158" max="6158" width="22.1796875" style="1" customWidth="1"/>
    <col min="6159" max="6160" width="0" style="1" hidden="1" customWidth="1"/>
    <col min="6161" max="6168" width="9.1796875" style="1" customWidth="1"/>
    <col min="6169" max="6400" width="9.1796875" style="1"/>
    <col min="6401" max="6401" width="8.81640625" style="1" customWidth="1"/>
    <col min="6402" max="6402" width="60.26953125" style="1" customWidth="1"/>
    <col min="6403" max="6405" width="0" style="1" hidden="1" customWidth="1"/>
    <col min="6406" max="6406" width="13.26953125" style="1" customWidth="1"/>
    <col min="6407" max="6408" width="10.26953125" style="1" customWidth="1"/>
    <col min="6409" max="6409" width="10.453125" style="1" customWidth="1"/>
    <col min="6410" max="6413" width="0" style="1" hidden="1" customWidth="1"/>
    <col min="6414" max="6414" width="22.1796875" style="1" customWidth="1"/>
    <col min="6415" max="6416" width="0" style="1" hidden="1" customWidth="1"/>
    <col min="6417" max="6424" width="9.1796875" style="1" customWidth="1"/>
    <col min="6425" max="6656" width="9.1796875" style="1"/>
    <col min="6657" max="6657" width="8.81640625" style="1" customWidth="1"/>
    <col min="6658" max="6658" width="60.26953125" style="1" customWidth="1"/>
    <col min="6659" max="6661" width="0" style="1" hidden="1" customWidth="1"/>
    <col min="6662" max="6662" width="13.26953125" style="1" customWidth="1"/>
    <col min="6663" max="6664" width="10.26953125" style="1" customWidth="1"/>
    <col min="6665" max="6665" width="10.453125" style="1" customWidth="1"/>
    <col min="6666" max="6669" width="0" style="1" hidden="1" customWidth="1"/>
    <col min="6670" max="6670" width="22.1796875" style="1" customWidth="1"/>
    <col min="6671" max="6672" width="0" style="1" hidden="1" customWidth="1"/>
    <col min="6673" max="6680" width="9.1796875" style="1" customWidth="1"/>
    <col min="6681" max="6912" width="9.1796875" style="1"/>
    <col min="6913" max="6913" width="8.81640625" style="1" customWidth="1"/>
    <col min="6914" max="6914" width="60.26953125" style="1" customWidth="1"/>
    <col min="6915" max="6917" width="0" style="1" hidden="1" customWidth="1"/>
    <col min="6918" max="6918" width="13.26953125" style="1" customWidth="1"/>
    <col min="6919" max="6920" width="10.26953125" style="1" customWidth="1"/>
    <col min="6921" max="6921" width="10.453125" style="1" customWidth="1"/>
    <col min="6922" max="6925" width="0" style="1" hidden="1" customWidth="1"/>
    <col min="6926" max="6926" width="22.1796875" style="1" customWidth="1"/>
    <col min="6927" max="6928" width="0" style="1" hidden="1" customWidth="1"/>
    <col min="6929" max="6936" width="9.1796875" style="1" customWidth="1"/>
    <col min="6937" max="7168" width="9.1796875" style="1"/>
    <col min="7169" max="7169" width="8.81640625" style="1" customWidth="1"/>
    <col min="7170" max="7170" width="60.26953125" style="1" customWidth="1"/>
    <col min="7171" max="7173" width="0" style="1" hidden="1" customWidth="1"/>
    <col min="7174" max="7174" width="13.26953125" style="1" customWidth="1"/>
    <col min="7175" max="7176" width="10.26953125" style="1" customWidth="1"/>
    <col min="7177" max="7177" width="10.453125" style="1" customWidth="1"/>
    <col min="7178" max="7181" width="0" style="1" hidden="1" customWidth="1"/>
    <col min="7182" max="7182" width="22.1796875" style="1" customWidth="1"/>
    <col min="7183" max="7184" width="0" style="1" hidden="1" customWidth="1"/>
    <col min="7185" max="7192" width="9.1796875" style="1" customWidth="1"/>
    <col min="7193" max="7424" width="9.1796875" style="1"/>
    <col min="7425" max="7425" width="8.81640625" style="1" customWidth="1"/>
    <col min="7426" max="7426" width="60.26953125" style="1" customWidth="1"/>
    <col min="7427" max="7429" width="0" style="1" hidden="1" customWidth="1"/>
    <col min="7430" max="7430" width="13.26953125" style="1" customWidth="1"/>
    <col min="7431" max="7432" width="10.26953125" style="1" customWidth="1"/>
    <col min="7433" max="7433" width="10.453125" style="1" customWidth="1"/>
    <col min="7434" max="7437" width="0" style="1" hidden="1" customWidth="1"/>
    <col min="7438" max="7438" width="22.1796875" style="1" customWidth="1"/>
    <col min="7439" max="7440" width="0" style="1" hidden="1" customWidth="1"/>
    <col min="7441" max="7448" width="9.1796875" style="1" customWidth="1"/>
    <col min="7449" max="7680" width="9.1796875" style="1"/>
    <col min="7681" max="7681" width="8.81640625" style="1" customWidth="1"/>
    <col min="7682" max="7682" width="60.26953125" style="1" customWidth="1"/>
    <col min="7683" max="7685" width="0" style="1" hidden="1" customWidth="1"/>
    <col min="7686" max="7686" width="13.26953125" style="1" customWidth="1"/>
    <col min="7687" max="7688" width="10.26953125" style="1" customWidth="1"/>
    <col min="7689" max="7689" width="10.453125" style="1" customWidth="1"/>
    <col min="7690" max="7693" width="0" style="1" hidden="1" customWidth="1"/>
    <col min="7694" max="7694" width="22.1796875" style="1" customWidth="1"/>
    <col min="7695" max="7696" width="0" style="1" hidden="1" customWidth="1"/>
    <col min="7697" max="7704" width="9.1796875" style="1" customWidth="1"/>
    <col min="7705" max="7936" width="9.1796875" style="1"/>
    <col min="7937" max="7937" width="8.81640625" style="1" customWidth="1"/>
    <col min="7938" max="7938" width="60.26953125" style="1" customWidth="1"/>
    <col min="7939" max="7941" width="0" style="1" hidden="1" customWidth="1"/>
    <col min="7942" max="7942" width="13.26953125" style="1" customWidth="1"/>
    <col min="7943" max="7944" width="10.26953125" style="1" customWidth="1"/>
    <col min="7945" max="7945" width="10.453125" style="1" customWidth="1"/>
    <col min="7946" max="7949" width="0" style="1" hidden="1" customWidth="1"/>
    <col min="7950" max="7950" width="22.1796875" style="1" customWidth="1"/>
    <col min="7951" max="7952" width="0" style="1" hidden="1" customWidth="1"/>
    <col min="7953" max="7960" width="9.1796875" style="1" customWidth="1"/>
    <col min="7961" max="8192" width="9.1796875" style="1"/>
    <col min="8193" max="8193" width="8.81640625" style="1" customWidth="1"/>
    <col min="8194" max="8194" width="60.26953125" style="1" customWidth="1"/>
    <col min="8195" max="8197" width="0" style="1" hidden="1" customWidth="1"/>
    <col min="8198" max="8198" width="13.26953125" style="1" customWidth="1"/>
    <col min="8199" max="8200" width="10.26953125" style="1" customWidth="1"/>
    <col min="8201" max="8201" width="10.453125" style="1" customWidth="1"/>
    <col min="8202" max="8205" width="0" style="1" hidden="1" customWidth="1"/>
    <col min="8206" max="8206" width="22.1796875" style="1" customWidth="1"/>
    <col min="8207" max="8208" width="0" style="1" hidden="1" customWidth="1"/>
    <col min="8209" max="8216" width="9.1796875" style="1" customWidth="1"/>
    <col min="8217" max="8448" width="9.1796875" style="1"/>
    <col min="8449" max="8449" width="8.81640625" style="1" customWidth="1"/>
    <col min="8450" max="8450" width="60.26953125" style="1" customWidth="1"/>
    <col min="8451" max="8453" width="0" style="1" hidden="1" customWidth="1"/>
    <col min="8454" max="8454" width="13.26953125" style="1" customWidth="1"/>
    <col min="8455" max="8456" width="10.26953125" style="1" customWidth="1"/>
    <col min="8457" max="8457" width="10.453125" style="1" customWidth="1"/>
    <col min="8458" max="8461" width="0" style="1" hidden="1" customWidth="1"/>
    <col min="8462" max="8462" width="22.1796875" style="1" customWidth="1"/>
    <col min="8463" max="8464" width="0" style="1" hidden="1" customWidth="1"/>
    <col min="8465" max="8472" width="9.1796875" style="1" customWidth="1"/>
    <col min="8473" max="8704" width="9.1796875" style="1"/>
    <col min="8705" max="8705" width="8.81640625" style="1" customWidth="1"/>
    <col min="8706" max="8706" width="60.26953125" style="1" customWidth="1"/>
    <col min="8707" max="8709" width="0" style="1" hidden="1" customWidth="1"/>
    <col min="8710" max="8710" width="13.26953125" style="1" customWidth="1"/>
    <col min="8711" max="8712" width="10.26953125" style="1" customWidth="1"/>
    <col min="8713" max="8713" width="10.453125" style="1" customWidth="1"/>
    <col min="8714" max="8717" width="0" style="1" hidden="1" customWidth="1"/>
    <col min="8718" max="8718" width="22.1796875" style="1" customWidth="1"/>
    <col min="8719" max="8720" width="0" style="1" hidden="1" customWidth="1"/>
    <col min="8721" max="8728" width="9.1796875" style="1" customWidth="1"/>
    <col min="8729" max="8960" width="9.1796875" style="1"/>
    <col min="8961" max="8961" width="8.81640625" style="1" customWidth="1"/>
    <col min="8962" max="8962" width="60.26953125" style="1" customWidth="1"/>
    <col min="8963" max="8965" width="0" style="1" hidden="1" customWidth="1"/>
    <col min="8966" max="8966" width="13.26953125" style="1" customWidth="1"/>
    <col min="8967" max="8968" width="10.26953125" style="1" customWidth="1"/>
    <col min="8969" max="8969" width="10.453125" style="1" customWidth="1"/>
    <col min="8970" max="8973" width="0" style="1" hidden="1" customWidth="1"/>
    <col min="8974" max="8974" width="22.1796875" style="1" customWidth="1"/>
    <col min="8975" max="8976" width="0" style="1" hidden="1" customWidth="1"/>
    <col min="8977" max="8984" width="9.1796875" style="1" customWidth="1"/>
    <col min="8985" max="9216" width="9.1796875" style="1"/>
    <col min="9217" max="9217" width="8.81640625" style="1" customWidth="1"/>
    <col min="9218" max="9218" width="60.26953125" style="1" customWidth="1"/>
    <col min="9219" max="9221" width="0" style="1" hidden="1" customWidth="1"/>
    <col min="9222" max="9222" width="13.26953125" style="1" customWidth="1"/>
    <col min="9223" max="9224" width="10.26953125" style="1" customWidth="1"/>
    <col min="9225" max="9225" width="10.453125" style="1" customWidth="1"/>
    <col min="9226" max="9229" width="0" style="1" hidden="1" customWidth="1"/>
    <col min="9230" max="9230" width="22.1796875" style="1" customWidth="1"/>
    <col min="9231" max="9232" width="0" style="1" hidden="1" customWidth="1"/>
    <col min="9233" max="9240" width="9.1796875" style="1" customWidth="1"/>
    <col min="9241" max="9472" width="9.1796875" style="1"/>
    <col min="9473" max="9473" width="8.81640625" style="1" customWidth="1"/>
    <col min="9474" max="9474" width="60.26953125" style="1" customWidth="1"/>
    <col min="9475" max="9477" width="0" style="1" hidden="1" customWidth="1"/>
    <col min="9478" max="9478" width="13.26953125" style="1" customWidth="1"/>
    <col min="9479" max="9480" width="10.26953125" style="1" customWidth="1"/>
    <col min="9481" max="9481" width="10.453125" style="1" customWidth="1"/>
    <col min="9482" max="9485" width="0" style="1" hidden="1" customWidth="1"/>
    <col min="9486" max="9486" width="22.1796875" style="1" customWidth="1"/>
    <col min="9487" max="9488" width="0" style="1" hidden="1" customWidth="1"/>
    <col min="9489" max="9496" width="9.1796875" style="1" customWidth="1"/>
    <col min="9497" max="9728" width="9.1796875" style="1"/>
    <col min="9729" max="9729" width="8.81640625" style="1" customWidth="1"/>
    <col min="9730" max="9730" width="60.26953125" style="1" customWidth="1"/>
    <col min="9731" max="9733" width="0" style="1" hidden="1" customWidth="1"/>
    <col min="9734" max="9734" width="13.26953125" style="1" customWidth="1"/>
    <col min="9735" max="9736" width="10.26953125" style="1" customWidth="1"/>
    <col min="9737" max="9737" width="10.453125" style="1" customWidth="1"/>
    <col min="9738" max="9741" width="0" style="1" hidden="1" customWidth="1"/>
    <col min="9742" max="9742" width="22.1796875" style="1" customWidth="1"/>
    <col min="9743" max="9744" width="0" style="1" hidden="1" customWidth="1"/>
    <col min="9745" max="9752" width="9.1796875" style="1" customWidth="1"/>
    <col min="9753" max="9984" width="9.1796875" style="1"/>
    <col min="9985" max="9985" width="8.81640625" style="1" customWidth="1"/>
    <col min="9986" max="9986" width="60.26953125" style="1" customWidth="1"/>
    <col min="9987" max="9989" width="0" style="1" hidden="1" customWidth="1"/>
    <col min="9990" max="9990" width="13.26953125" style="1" customWidth="1"/>
    <col min="9991" max="9992" width="10.26953125" style="1" customWidth="1"/>
    <col min="9993" max="9993" width="10.453125" style="1" customWidth="1"/>
    <col min="9994" max="9997" width="0" style="1" hidden="1" customWidth="1"/>
    <col min="9998" max="9998" width="22.1796875" style="1" customWidth="1"/>
    <col min="9999" max="10000" width="0" style="1" hidden="1" customWidth="1"/>
    <col min="10001" max="10008" width="9.1796875" style="1" customWidth="1"/>
    <col min="10009" max="10240" width="9.1796875" style="1"/>
    <col min="10241" max="10241" width="8.81640625" style="1" customWidth="1"/>
    <col min="10242" max="10242" width="60.26953125" style="1" customWidth="1"/>
    <col min="10243" max="10245" width="0" style="1" hidden="1" customWidth="1"/>
    <col min="10246" max="10246" width="13.26953125" style="1" customWidth="1"/>
    <col min="10247" max="10248" width="10.26953125" style="1" customWidth="1"/>
    <col min="10249" max="10249" width="10.453125" style="1" customWidth="1"/>
    <col min="10250" max="10253" width="0" style="1" hidden="1" customWidth="1"/>
    <col min="10254" max="10254" width="22.1796875" style="1" customWidth="1"/>
    <col min="10255" max="10256" width="0" style="1" hidden="1" customWidth="1"/>
    <col min="10257" max="10264" width="9.1796875" style="1" customWidth="1"/>
    <col min="10265" max="10496" width="9.1796875" style="1"/>
    <col min="10497" max="10497" width="8.81640625" style="1" customWidth="1"/>
    <col min="10498" max="10498" width="60.26953125" style="1" customWidth="1"/>
    <col min="10499" max="10501" width="0" style="1" hidden="1" customWidth="1"/>
    <col min="10502" max="10502" width="13.26953125" style="1" customWidth="1"/>
    <col min="10503" max="10504" width="10.26953125" style="1" customWidth="1"/>
    <col min="10505" max="10505" width="10.453125" style="1" customWidth="1"/>
    <col min="10506" max="10509" width="0" style="1" hidden="1" customWidth="1"/>
    <col min="10510" max="10510" width="22.1796875" style="1" customWidth="1"/>
    <col min="10511" max="10512" width="0" style="1" hidden="1" customWidth="1"/>
    <col min="10513" max="10520" width="9.1796875" style="1" customWidth="1"/>
    <col min="10521" max="10752" width="9.1796875" style="1"/>
    <col min="10753" max="10753" width="8.81640625" style="1" customWidth="1"/>
    <col min="10754" max="10754" width="60.26953125" style="1" customWidth="1"/>
    <col min="10755" max="10757" width="0" style="1" hidden="1" customWidth="1"/>
    <col min="10758" max="10758" width="13.26953125" style="1" customWidth="1"/>
    <col min="10759" max="10760" width="10.26953125" style="1" customWidth="1"/>
    <col min="10761" max="10761" width="10.453125" style="1" customWidth="1"/>
    <col min="10762" max="10765" width="0" style="1" hidden="1" customWidth="1"/>
    <col min="10766" max="10766" width="22.1796875" style="1" customWidth="1"/>
    <col min="10767" max="10768" width="0" style="1" hidden="1" customWidth="1"/>
    <col min="10769" max="10776" width="9.1796875" style="1" customWidth="1"/>
    <col min="10777" max="11008" width="9.1796875" style="1"/>
    <col min="11009" max="11009" width="8.81640625" style="1" customWidth="1"/>
    <col min="11010" max="11010" width="60.26953125" style="1" customWidth="1"/>
    <col min="11011" max="11013" width="0" style="1" hidden="1" customWidth="1"/>
    <col min="11014" max="11014" width="13.26953125" style="1" customWidth="1"/>
    <col min="11015" max="11016" width="10.26953125" style="1" customWidth="1"/>
    <col min="11017" max="11017" width="10.453125" style="1" customWidth="1"/>
    <col min="11018" max="11021" width="0" style="1" hidden="1" customWidth="1"/>
    <col min="11022" max="11022" width="22.1796875" style="1" customWidth="1"/>
    <col min="11023" max="11024" width="0" style="1" hidden="1" customWidth="1"/>
    <col min="11025" max="11032" width="9.1796875" style="1" customWidth="1"/>
    <col min="11033" max="11264" width="9.1796875" style="1"/>
    <col min="11265" max="11265" width="8.81640625" style="1" customWidth="1"/>
    <col min="11266" max="11266" width="60.26953125" style="1" customWidth="1"/>
    <col min="11267" max="11269" width="0" style="1" hidden="1" customWidth="1"/>
    <col min="11270" max="11270" width="13.26953125" style="1" customWidth="1"/>
    <col min="11271" max="11272" width="10.26953125" style="1" customWidth="1"/>
    <col min="11273" max="11273" width="10.453125" style="1" customWidth="1"/>
    <col min="11274" max="11277" width="0" style="1" hidden="1" customWidth="1"/>
    <col min="11278" max="11278" width="22.1796875" style="1" customWidth="1"/>
    <col min="11279" max="11280" width="0" style="1" hidden="1" customWidth="1"/>
    <col min="11281" max="11288" width="9.1796875" style="1" customWidth="1"/>
    <col min="11289" max="11520" width="9.1796875" style="1"/>
    <col min="11521" max="11521" width="8.81640625" style="1" customWidth="1"/>
    <col min="11522" max="11522" width="60.26953125" style="1" customWidth="1"/>
    <col min="11523" max="11525" width="0" style="1" hidden="1" customWidth="1"/>
    <col min="11526" max="11526" width="13.26953125" style="1" customWidth="1"/>
    <col min="11527" max="11528" width="10.26953125" style="1" customWidth="1"/>
    <col min="11529" max="11529" width="10.453125" style="1" customWidth="1"/>
    <col min="11530" max="11533" width="0" style="1" hidden="1" customWidth="1"/>
    <col min="11534" max="11534" width="22.1796875" style="1" customWidth="1"/>
    <col min="11535" max="11536" width="0" style="1" hidden="1" customWidth="1"/>
    <col min="11537" max="11544" width="9.1796875" style="1" customWidth="1"/>
    <col min="11545" max="11776" width="9.1796875" style="1"/>
    <col min="11777" max="11777" width="8.81640625" style="1" customWidth="1"/>
    <col min="11778" max="11778" width="60.26953125" style="1" customWidth="1"/>
    <col min="11779" max="11781" width="0" style="1" hidden="1" customWidth="1"/>
    <col min="11782" max="11782" width="13.26953125" style="1" customWidth="1"/>
    <col min="11783" max="11784" width="10.26953125" style="1" customWidth="1"/>
    <col min="11785" max="11785" width="10.453125" style="1" customWidth="1"/>
    <col min="11786" max="11789" width="0" style="1" hidden="1" customWidth="1"/>
    <col min="11790" max="11790" width="22.1796875" style="1" customWidth="1"/>
    <col min="11791" max="11792" width="0" style="1" hidden="1" customWidth="1"/>
    <col min="11793" max="11800" width="9.1796875" style="1" customWidth="1"/>
    <col min="11801" max="12032" width="9.1796875" style="1"/>
    <col min="12033" max="12033" width="8.81640625" style="1" customWidth="1"/>
    <col min="12034" max="12034" width="60.26953125" style="1" customWidth="1"/>
    <col min="12035" max="12037" width="0" style="1" hidden="1" customWidth="1"/>
    <col min="12038" max="12038" width="13.26953125" style="1" customWidth="1"/>
    <col min="12039" max="12040" width="10.26953125" style="1" customWidth="1"/>
    <col min="12041" max="12041" width="10.453125" style="1" customWidth="1"/>
    <col min="12042" max="12045" width="0" style="1" hidden="1" customWidth="1"/>
    <col min="12046" max="12046" width="22.1796875" style="1" customWidth="1"/>
    <col min="12047" max="12048" width="0" style="1" hidden="1" customWidth="1"/>
    <col min="12049" max="12056" width="9.1796875" style="1" customWidth="1"/>
    <col min="12057" max="12288" width="9.1796875" style="1"/>
    <col min="12289" max="12289" width="8.81640625" style="1" customWidth="1"/>
    <col min="12290" max="12290" width="60.26953125" style="1" customWidth="1"/>
    <col min="12291" max="12293" width="0" style="1" hidden="1" customWidth="1"/>
    <col min="12294" max="12294" width="13.26953125" style="1" customWidth="1"/>
    <col min="12295" max="12296" width="10.26953125" style="1" customWidth="1"/>
    <col min="12297" max="12297" width="10.453125" style="1" customWidth="1"/>
    <col min="12298" max="12301" width="0" style="1" hidden="1" customWidth="1"/>
    <col min="12302" max="12302" width="22.1796875" style="1" customWidth="1"/>
    <col min="12303" max="12304" width="0" style="1" hidden="1" customWidth="1"/>
    <col min="12305" max="12312" width="9.1796875" style="1" customWidth="1"/>
    <col min="12313" max="12544" width="9.1796875" style="1"/>
    <col min="12545" max="12545" width="8.81640625" style="1" customWidth="1"/>
    <col min="12546" max="12546" width="60.26953125" style="1" customWidth="1"/>
    <col min="12547" max="12549" width="0" style="1" hidden="1" customWidth="1"/>
    <col min="12550" max="12550" width="13.26953125" style="1" customWidth="1"/>
    <col min="12551" max="12552" width="10.26953125" style="1" customWidth="1"/>
    <col min="12553" max="12553" width="10.453125" style="1" customWidth="1"/>
    <col min="12554" max="12557" width="0" style="1" hidden="1" customWidth="1"/>
    <col min="12558" max="12558" width="22.1796875" style="1" customWidth="1"/>
    <col min="12559" max="12560" width="0" style="1" hidden="1" customWidth="1"/>
    <col min="12561" max="12568" width="9.1796875" style="1" customWidth="1"/>
    <col min="12569" max="12800" width="9.1796875" style="1"/>
    <col min="12801" max="12801" width="8.81640625" style="1" customWidth="1"/>
    <col min="12802" max="12802" width="60.26953125" style="1" customWidth="1"/>
    <col min="12803" max="12805" width="0" style="1" hidden="1" customWidth="1"/>
    <col min="12806" max="12806" width="13.26953125" style="1" customWidth="1"/>
    <col min="12807" max="12808" width="10.26953125" style="1" customWidth="1"/>
    <col min="12809" max="12809" width="10.453125" style="1" customWidth="1"/>
    <col min="12810" max="12813" width="0" style="1" hidden="1" customWidth="1"/>
    <col min="12814" max="12814" width="22.1796875" style="1" customWidth="1"/>
    <col min="12815" max="12816" width="0" style="1" hidden="1" customWidth="1"/>
    <col min="12817" max="12824" width="9.1796875" style="1" customWidth="1"/>
    <col min="12825" max="13056" width="9.1796875" style="1"/>
    <col min="13057" max="13057" width="8.81640625" style="1" customWidth="1"/>
    <col min="13058" max="13058" width="60.26953125" style="1" customWidth="1"/>
    <col min="13059" max="13061" width="0" style="1" hidden="1" customWidth="1"/>
    <col min="13062" max="13062" width="13.26953125" style="1" customWidth="1"/>
    <col min="13063" max="13064" width="10.26953125" style="1" customWidth="1"/>
    <col min="13065" max="13065" width="10.453125" style="1" customWidth="1"/>
    <col min="13066" max="13069" width="0" style="1" hidden="1" customWidth="1"/>
    <col min="13070" max="13070" width="22.1796875" style="1" customWidth="1"/>
    <col min="13071" max="13072" width="0" style="1" hidden="1" customWidth="1"/>
    <col min="13073" max="13080" width="9.1796875" style="1" customWidth="1"/>
    <col min="13081" max="13312" width="9.1796875" style="1"/>
    <col min="13313" max="13313" width="8.81640625" style="1" customWidth="1"/>
    <col min="13314" max="13314" width="60.26953125" style="1" customWidth="1"/>
    <col min="13315" max="13317" width="0" style="1" hidden="1" customWidth="1"/>
    <col min="13318" max="13318" width="13.26953125" style="1" customWidth="1"/>
    <col min="13319" max="13320" width="10.26953125" style="1" customWidth="1"/>
    <col min="13321" max="13321" width="10.453125" style="1" customWidth="1"/>
    <col min="13322" max="13325" width="0" style="1" hidden="1" customWidth="1"/>
    <col min="13326" max="13326" width="22.1796875" style="1" customWidth="1"/>
    <col min="13327" max="13328" width="0" style="1" hidden="1" customWidth="1"/>
    <col min="13329" max="13336" width="9.1796875" style="1" customWidth="1"/>
    <col min="13337" max="13568" width="9.1796875" style="1"/>
    <col min="13569" max="13569" width="8.81640625" style="1" customWidth="1"/>
    <col min="13570" max="13570" width="60.26953125" style="1" customWidth="1"/>
    <col min="13571" max="13573" width="0" style="1" hidden="1" customWidth="1"/>
    <col min="13574" max="13574" width="13.26953125" style="1" customWidth="1"/>
    <col min="13575" max="13576" width="10.26953125" style="1" customWidth="1"/>
    <col min="13577" max="13577" width="10.453125" style="1" customWidth="1"/>
    <col min="13578" max="13581" width="0" style="1" hidden="1" customWidth="1"/>
    <col min="13582" max="13582" width="22.1796875" style="1" customWidth="1"/>
    <col min="13583" max="13584" width="0" style="1" hidden="1" customWidth="1"/>
    <col min="13585" max="13592" width="9.1796875" style="1" customWidth="1"/>
    <col min="13593" max="13824" width="9.1796875" style="1"/>
    <col min="13825" max="13825" width="8.81640625" style="1" customWidth="1"/>
    <col min="13826" max="13826" width="60.26953125" style="1" customWidth="1"/>
    <col min="13827" max="13829" width="0" style="1" hidden="1" customWidth="1"/>
    <col min="13830" max="13830" width="13.26953125" style="1" customWidth="1"/>
    <col min="13831" max="13832" width="10.26953125" style="1" customWidth="1"/>
    <col min="13833" max="13833" width="10.453125" style="1" customWidth="1"/>
    <col min="13834" max="13837" width="0" style="1" hidden="1" customWidth="1"/>
    <col min="13838" max="13838" width="22.1796875" style="1" customWidth="1"/>
    <col min="13839" max="13840" width="0" style="1" hidden="1" customWidth="1"/>
    <col min="13841" max="13848" width="9.1796875" style="1" customWidth="1"/>
    <col min="13849" max="14080" width="9.1796875" style="1"/>
    <col min="14081" max="14081" width="8.81640625" style="1" customWidth="1"/>
    <col min="14082" max="14082" width="60.26953125" style="1" customWidth="1"/>
    <col min="14083" max="14085" width="0" style="1" hidden="1" customWidth="1"/>
    <col min="14086" max="14086" width="13.26953125" style="1" customWidth="1"/>
    <col min="14087" max="14088" width="10.26953125" style="1" customWidth="1"/>
    <col min="14089" max="14089" width="10.453125" style="1" customWidth="1"/>
    <col min="14090" max="14093" width="0" style="1" hidden="1" customWidth="1"/>
    <col min="14094" max="14094" width="22.1796875" style="1" customWidth="1"/>
    <col min="14095" max="14096" width="0" style="1" hidden="1" customWidth="1"/>
    <col min="14097" max="14104" width="9.1796875" style="1" customWidth="1"/>
    <col min="14105" max="14336" width="9.1796875" style="1"/>
    <col min="14337" max="14337" width="8.81640625" style="1" customWidth="1"/>
    <col min="14338" max="14338" width="60.26953125" style="1" customWidth="1"/>
    <col min="14339" max="14341" width="0" style="1" hidden="1" customWidth="1"/>
    <col min="14342" max="14342" width="13.26953125" style="1" customWidth="1"/>
    <col min="14343" max="14344" width="10.26953125" style="1" customWidth="1"/>
    <col min="14345" max="14345" width="10.453125" style="1" customWidth="1"/>
    <col min="14346" max="14349" width="0" style="1" hidden="1" customWidth="1"/>
    <col min="14350" max="14350" width="22.1796875" style="1" customWidth="1"/>
    <col min="14351" max="14352" width="0" style="1" hidden="1" customWidth="1"/>
    <col min="14353" max="14360" width="9.1796875" style="1" customWidth="1"/>
    <col min="14361" max="14592" width="9.1796875" style="1"/>
    <col min="14593" max="14593" width="8.81640625" style="1" customWidth="1"/>
    <col min="14594" max="14594" width="60.26953125" style="1" customWidth="1"/>
    <col min="14595" max="14597" width="0" style="1" hidden="1" customWidth="1"/>
    <col min="14598" max="14598" width="13.26953125" style="1" customWidth="1"/>
    <col min="14599" max="14600" width="10.26953125" style="1" customWidth="1"/>
    <col min="14601" max="14601" width="10.453125" style="1" customWidth="1"/>
    <col min="14602" max="14605" width="0" style="1" hidden="1" customWidth="1"/>
    <col min="14606" max="14606" width="22.1796875" style="1" customWidth="1"/>
    <col min="14607" max="14608" width="0" style="1" hidden="1" customWidth="1"/>
    <col min="14609" max="14616" width="9.1796875" style="1" customWidth="1"/>
    <col min="14617" max="14848" width="9.1796875" style="1"/>
    <col min="14849" max="14849" width="8.81640625" style="1" customWidth="1"/>
    <col min="14850" max="14850" width="60.26953125" style="1" customWidth="1"/>
    <col min="14851" max="14853" width="0" style="1" hidden="1" customWidth="1"/>
    <col min="14854" max="14854" width="13.26953125" style="1" customWidth="1"/>
    <col min="14855" max="14856" width="10.26953125" style="1" customWidth="1"/>
    <col min="14857" max="14857" width="10.453125" style="1" customWidth="1"/>
    <col min="14858" max="14861" width="0" style="1" hidden="1" customWidth="1"/>
    <col min="14862" max="14862" width="22.1796875" style="1" customWidth="1"/>
    <col min="14863" max="14864" width="0" style="1" hidden="1" customWidth="1"/>
    <col min="14865" max="14872" width="9.1796875" style="1" customWidth="1"/>
    <col min="14873" max="15104" width="9.1796875" style="1"/>
    <col min="15105" max="15105" width="8.81640625" style="1" customWidth="1"/>
    <col min="15106" max="15106" width="60.26953125" style="1" customWidth="1"/>
    <col min="15107" max="15109" width="0" style="1" hidden="1" customWidth="1"/>
    <col min="15110" max="15110" width="13.26953125" style="1" customWidth="1"/>
    <col min="15111" max="15112" width="10.26953125" style="1" customWidth="1"/>
    <col min="15113" max="15113" width="10.453125" style="1" customWidth="1"/>
    <col min="15114" max="15117" width="0" style="1" hidden="1" customWidth="1"/>
    <col min="15118" max="15118" width="22.1796875" style="1" customWidth="1"/>
    <col min="15119" max="15120" width="0" style="1" hidden="1" customWidth="1"/>
    <col min="15121" max="15128" width="9.1796875" style="1" customWidth="1"/>
    <col min="15129" max="15360" width="9.1796875" style="1"/>
    <col min="15361" max="15361" width="8.81640625" style="1" customWidth="1"/>
    <col min="15362" max="15362" width="60.26953125" style="1" customWidth="1"/>
    <col min="15363" max="15365" width="0" style="1" hidden="1" customWidth="1"/>
    <col min="15366" max="15366" width="13.26953125" style="1" customWidth="1"/>
    <col min="15367" max="15368" width="10.26953125" style="1" customWidth="1"/>
    <col min="15369" max="15369" width="10.453125" style="1" customWidth="1"/>
    <col min="15370" max="15373" width="0" style="1" hidden="1" customWidth="1"/>
    <col min="15374" max="15374" width="22.1796875" style="1" customWidth="1"/>
    <col min="15375" max="15376" width="0" style="1" hidden="1" customWidth="1"/>
    <col min="15377" max="15384" width="9.1796875" style="1" customWidth="1"/>
    <col min="15385" max="15616" width="9.1796875" style="1"/>
    <col min="15617" max="15617" width="8.81640625" style="1" customWidth="1"/>
    <col min="15618" max="15618" width="60.26953125" style="1" customWidth="1"/>
    <col min="15619" max="15621" width="0" style="1" hidden="1" customWidth="1"/>
    <col min="15622" max="15622" width="13.26953125" style="1" customWidth="1"/>
    <col min="15623" max="15624" width="10.26953125" style="1" customWidth="1"/>
    <col min="15625" max="15625" width="10.453125" style="1" customWidth="1"/>
    <col min="15626" max="15629" width="0" style="1" hidden="1" customWidth="1"/>
    <col min="15630" max="15630" width="22.1796875" style="1" customWidth="1"/>
    <col min="15631" max="15632" width="0" style="1" hidden="1" customWidth="1"/>
    <col min="15633" max="15640" width="9.1796875" style="1" customWidth="1"/>
    <col min="15641" max="15872" width="9.1796875" style="1"/>
    <col min="15873" max="15873" width="8.81640625" style="1" customWidth="1"/>
    <col min="15874" max="15874" width="60.26953125" style="1" customWidth="1"/>
    <col min="15875" max="15877" width="0" style="1" hidden="1" customWidth="1"/>
    <col min="15878" max="15878" width="13.26953125" style="1" customWidth="1"/>
    <col min="15879" max="15880" width="10.26953125" style="1" customWidth="1"/>
    <col min="15881" max="15881" width="10.453125" style="1" customWidth="1"/>
    <col min="15882" max="15885" width="0" style="1" hidden="1" customWidth="1"/>
    <col min="15886" max="15886" width="22.1796875" style="1" customWidth="1"/>
    <col min="15887" max="15888" width="0" style="1" hidden="1" customWidth="1"/>
    <col min="15889" max="15896" width="9.1796875" style="1" customWidth="1"/>
    <col min="15897" max="16128" width="9.1796875" style="1"/>
    <col min="16129" max="16129" width="8.81640625" style="1" customWidth="1"/>
    <col min="16130" max="16130" width="60.26953125" style="1" customWidth="1"/>
    <col min="16131" max="16133" width="0" style="1" hidden="1" customWidth="1"/>
    <col min="16134" max="16134" width="13.26953125" style="1" customWidth="1"/>
    <col min="16135" max="16136" width="10.26953125" style="1" customWidth="1"/>
    <col min="16137" max="16137" width="10.453125" style="1" customWidth="1"/>
    <col min="16138" max="16141" width="0" style="1" hidden="1" customWidth="1"/>
    <col min="16142" max="16142" width="22.1796875" style="1" customWidth="1"/>
    <col min="16143" max="16144" width="0" style="1" hidden="1" customWidth="1"/>
    <col min="16145" max="16152" width="9.1796875" style="1" customWidth="1"/>
    <col min="16153" max="16384" width="9.1796875" style="1"/>
  </cols>
  <sheetData>
    <row r="1" spans="1:23" ht="15.5" x14ac:dyDescent="0.35">
      <c r="J1" s="389"/>
      <c r="K1" s="389"/>
      <c r="L1" s="389"/>
      <c r="M1" s="389"/>
      <c r="N1" s="707" t="s">
        <v>822</v>
      </c>
      <c r="O1" s="389"/>
      <c r="P1" s="2601"/>
      <c r="Q1" s="2601"/>
      <c r="R1" s="2601"/>
      <c r="S1" s="2601"/>
      <c r="T1" s="2601"/>
      <c r="U1" s="2601"/>
    </row>
    <row r="2" spans="1:23" ht="15.5" x14ac:dyDescent="0.35">
      <c r="I2" s="2601" t="s">
        <v>450</v>
      </c>
      <c r="J2" s="2601"/>
      <c r="K2" s="2601"/>
      <c r="L2" s="2601"/>
      <c r="M2" s="2601"/>
      <c r="N2" s="2601"/>
      <c r="O2" s="5"/>
      <c r="P2" s="2601"/>
      <c r="Q2" s="2601"/>
      <c r="R2" s="2601"/>
      <c r="S2" s="2601"/>
      <c r="T2" s="2601"/>
      <c r="U2" s="2601"/>
    </row>
    <row r="3" spans="1:23" ht="15.5" x14ac:dyDescent="0.35">
      <c r="C3" s="261"/>
      <c r="D3" s="261"/>
      <c r="E3" s="261"/>
      <c r="F3" s="2601" t="s">
        <v>449</v>
      </c>
      <c r="G3" s="2601"/>
      <c r="H3" s="2601"/>
      <c r="I3" s="2601"/>
      <c r="J3" s="2601"/>
      <c r="K3" s="2601"/>
      <c r="L3" s="2601"/>
      <c r="M3" s="2601"/>
      <c r="N3" s="2601"/>
      <c r="O3" s="261"/>
      <c r="P3" s="261"/>
      <c r="Q3" s="261"/>
      <c r="R3" s="261"/>
      <c r="S3" s="261"/>
      <c r="T3" s="261"/>
      <c r="U3" s="261"/>
    </row>
    <row r="4" spans="1:23" ht="15.5" x14ac:dyDescent="0.3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2601"/>
      <c r="Q4" s="2601"/>
      <c r="R4" s="2601"/>
      <c r="S4" s="2601"/>
      <c r="T4" s="2601"/>
      <c r="U4" s="2601"/>
    </row>
    <row r="5" spans="1:23" ht="15.5" x14ac:dyDescent="0.25">
      <c r="D5" s="258" t="s">
        <v>447</v>
      </c>
      <c r="E5" s="258"/>
      <c r="F5" s="258"/>
      <c r="G5" s="2603" t="s">
        <v>895</v>
      </c>
      <c r="H5" s="2603"/>
      <c r="I5" s="2603"/>
      <c r="J5" s="2603"/>
      <c r="K5" s="2603"/>
      <c r="L5" s="2603"/>
      <c r="M5" s="2603"/>
      <c r="N5" s="2603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5">
      <c r="M6" s="4"/>
      <c r="N6" s="6"/>
      <c r="O6" s="6"/>
      <c r="P6" s="6"/>
      <c r="Q6" s="4"/>
      <c r="R6" s="4"/>
      <c r="S6" s="4"/>
      <c r="T6" s="4"/>
      <c r="U6" s="448"/>
    </row>
    <row r="7" spans="1:23" ht="15.5" hidden="1" x14ac:dyDescent="0.3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5" hidden="1" x14ac:dyDescent="0.3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5" hidden="1" x14ac:dyDescent="0.3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5" x14ac:dyDescent="0.3">
      <c r="B12" s="2716"/>
      <c r="C12" s="2716"/>
      <c r="D12" s="2716"/>
      <c r="E12" s="2716"/>
      <c r="F12" s="2716"/>
      <c r="G12" s="2716"/>
      <c r="H12" s="2716"/>
      <c r="I12" s="2716"/>
      <c r="J12" s="271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5" customHeight="1" x14ac:dyDescent="0.3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5" customHeight="1" x14ac:dyDescent="0.35">
      <c r="A14" s="2725" t="s">
        <v>440</v>
      </c>
      <c r="B14" s="2725"/>
      <c r="C14" s="2725"/>
      <c r="D14" s="2725"/>
      <c r="E14" s="2725"/>
      <c r="F14" s="2725"/>
      <c r="G14" s="2725"/>
      <c r="H14" s="2725"/>
      <c r="I14" s="2725"/>
      <c r="J14" s="2725"/>
      <c r="K14" s="238"/>
      <c r="L14" s="1"/>
      <c r="M14" s="1"/>
      <c r="N14" s="1"/>
      <c r="O14" s="1"/>
      <c r="P14" s="1"/>
    </row>
    <row r="15" spans="1:23" ht="15" customHeight="1" x14ac:dyDescent="0.35">
      <c r="A15" s="2725" t="s">
        <v>439</v>
      </c>
      <c r="B15" s="2725"/>
      <c r="C15" s="2725"/>
      <c r="D15" s="2725"/>
      <c r="E15" s="2725"/>
      <c r="F15" s="2725"/>
      <c r="G15" s="2725"/>
      <c r="H15" s="2725"/>
      <c r="I15" s="2725"/>
      <c r="J15" s="2725"/>
      <c r="K15" s="238"/>
      <c r="L15" s="1"/>
      <c r="M15" s="1"/>
      <c r="N15" s="1"/>
      <c r="O15" s="1"/>
      <c r="P15" s="1"/>
    </row>
    <row r="16" spans="1:23" ht="13.5" customHeight="1" x14ac:dyDescent="0.3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35">
      <c r="A17" s="2725" t="s">
        <v>896</v>
      </c>
      <c r="B17" s="2725"/>
      <c r="C17" s="2725"/>
      <c r="D17" s="2725"/>
      <c r="E17" s="2725"/>
      <c r="F17" s="2725"/>
      <c r="G17" s="2725"/>
      <c r="H17" s="2725"/>
      <c r="I17" s="2725"/>
      <c r="J17" s="2725"/>
      <c r="K17" s="238"/>
      <c r="L17" s="1"/>
      <c r="M17" s="1"/>
      <c r="N17" s="1"/>
      <c r="O17" s="1"/>
      <c r="P17" s="1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5" hidden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" hidden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" hidden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" hidden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26" hidden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t="13" hidden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26" hidden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t="13" hidden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2" hidden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t="13" hidden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t="13" hidden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9" hidden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4" hidden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9" hidden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6" hidden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t="13" hidden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9" hidden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" hidden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t="13" hidden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t="13" hidden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6" hidden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t="13" hidden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t="13" hidden="1" x14ac:dyDescent="0.3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t="13" hidden="1" x14ac:dyDescent="0.3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" hidden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t="13" hidden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6" hidden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t="13" hidden="1" x14ac:dyDescent="0.3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t="13" hidden="1" x14ac:dyDescent="0.3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6" hidden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91" hidden="1" x14ac:dyDescent="0.25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91" hidden="1" x14ac:dyDescent="0.25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t="13" hidden="1" x14ac:dyDescent="0.3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8" hidden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t="13" hidden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91" hidden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4" hidden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9" hidden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4" hidden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" hidden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" hidden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8" hidden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" hidden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" hidden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" hidden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8" hidden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" hidden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" hidden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98" hidden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" hidden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" hidden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" hidden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" hidden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" hidden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" hidden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" hidden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" hidden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" hidden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5" hidden="1" x14ac:dyDescent="0.3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650000000000006" hidden="1" customHeight="1" x14ac:dyDescent="0.3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3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52" hidden="1" x14ac:dyDescent="0.3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" hidden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" hidden="1" x14ac:dyDescent="0.3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t="13" hidden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8" hidden="1" x14ac:dyDescent="0.25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6" hidden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2" hidden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719" t="s">
        <v>20</v>
      </c>
      <c r="H127" s="2720"/>
      <c r="I127" s="2720"/>
      <c r="J127" s="2721"/>
      <c r="K127" s="41"/>
      <c r="L127" s="1"/>
      <c r="M127" s="1"/>
      <c r="N127" s="1"/>
      <c r="O127" s="1"/>
      <c r="P127" s="1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713" t="s">
        <v>17</v>
      </c>
      <c r="H128" s="2714"/>
      <c r="I128" s="2714"/>
      <c r="J128" s="2715"/>
      <c r="K128" s="41"/>
      <c r="L128" s="1"/>
      <c r="M128" s="1"/>
      <c r="N128" s="1"/>
      <c r="O128" s="1"/>
      <c r="P128" s="1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8" hidden="1" x14ac:dyDescent="0.25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t="13" hidden="1" x14ac:dyDescent="0.3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5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9" hidden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6" hidden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t="13" hidden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4" hidden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t="13" hidden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" hidden="1" x14ac:dyDescent="0.25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5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" hidden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t="13" hidden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91" hidden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t="13" hidden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t="13" hidden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t="13" hidden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91" hidden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t="13" hidden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2" hidden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" hidden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t="13" hidden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t="13" hidden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" hidden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52" hidden="1" x14ac:dyDescent="0.25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52" hidden="1" x14ac:dyDescent="0.25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78" hidden="1" x14ac:dyDescent="0.25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5" hidden="1" customHeight="1" x14ac:dyDescent="0.25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t="13" hidden="1" x14ac:dyDescent="0.3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52" hidden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8" hidden="1" x14ac:dyDescent="0.25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5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5"/>
    <row r="186" spans="1:17" hidden="1" x14ac:dyDescent="0.25"/>
    <row r="187" spans="1:17" hidden="1" x14ac:dyDescent="0.25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9" x14ac:dyDescent="0.25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5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13" x14ac:dyDescent="0.25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5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ht="13" x14ac:dyDescent="0.25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5" x14ac:dyDescent="0.25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9" hidden="1" x14ac:dyDescent="0.25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9" x14ac:dyDescent="0.25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6" x14ac:dyDescent="0.25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ht="13" x14ac:dyDescent="0.25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ht="13" x14ac:dyDescent="0.25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5" x14ac:dyDescent="0.25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2" x14ac:dyDescent="0.25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ht="13" x14ac:dyDescent="0.25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x14ac:dyDescent="0.3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x14ac:dyDescent="0.3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x14ac:dyDescent="0.3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39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6" x14ac:dyDescent="0.3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ht="13" x14ac:dyDescent="0.3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6" x14ac:dyDescent="0.3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5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5" customHeight="1" x14ac:dyDescent="0.25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5" x14ac:dyDescent="0.25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9" x14ac:dyDescent="0.25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9" x14ac:dyDescent="0.25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6" x14ac:dyDescent="0.25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9" x14ac:dyDescent="0.25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5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6" x14ac:dyDescent="0.25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5" customHeight="1" x14ac:dyDescent="0.25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ht="13" x14ac:dyDescent="0.25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13" x14ac:dyDescent="0.25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ht="13" x14ac:dyDescent="0.25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5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6" x14ac:dyDescent="0.25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9" x14ac:dyDescent="0.25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ht="13" x14ac:dyDescent="0.25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13" x14ac:dyDescent="0.25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ht="13" x14ac:dyDescent="0.25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t="13" hidden="1" x14ac:dyDescent="0.3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t="13" hidden="1" x14ac:dyDescent="0.3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t="13" hidden="1" x14ac:dyDescent="0.3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5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9" hidden="1" x14ac:dyDescent="0.25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6" hidden="1" x14ac:dyDescent="0.25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5" hidden="1" customHeight="1" x14ac:dyDescent="0.3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5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9" hidden="1" x14ac:dyDescent="0.25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5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5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5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t="13" hidden="1" x14ac:dyDescent="0.3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5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9" x14ac:dyDescent="0.3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0" x14ac:dyDescent="0.3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0" x14ac:dyDescent="0.3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13" x14ac:dyDescent="0.3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0" x14ac:dyDescent="0.3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9" x14ac:dyDescent="0.3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ht="13" x14ac:dyDescent="0.3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ht="13" x14ac:dyDescent="0.3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3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5" customHeight="1" x14ac:dyDescent="0.3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5" customHeight="1" x14ac:dyDescent="0.3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5" hidden="1" customHeight="1" x14ac:dyDescent="0.3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3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3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3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3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3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3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3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3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9" x14ac:dyDescent="0.3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ht="13" x14ac:dyDescent="0.3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9" x14ac:dyDescent="0.3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9" x14ac:dyDescent="0.25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ht="13" x14ac:dyDescent="0.25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9" x14ac:dyDescent="0.3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9" hidden="1" x14ac:dyDescent="0.25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9" hidden="1" x14ac:dyDescent="0.3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52" hidden="1" x14ac:dyDescent="0.25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t="13" hidden="1" x14ac:dyDescent="0.25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9" hidden="1" x14ac:dyDescent="0.3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2" hidden="1" x14ac:dyDescent="0.25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5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26" hidden="1" x14ac:dyDescent="0.25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t="13" hidden="1" x14ac:dyDescent="0.3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9" hidden="1" x14ac:dyDescent="0.3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5" hidden="1" x14ac:dyDescent="0.25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t="13" hidden="1" x14ac:dyDescent="0.3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9" hidden="1" x14ac:dyDescent="0.3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650000000000006" hidden="1" customHeight="1" x14ac:dyDescent="0.25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5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3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3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5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3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5" hidden="1" customHeight="1" x14ac:dyDescent="0.25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3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3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ht="13" x14ac:dyDescent="0.25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6" x14ac:dyDescent="0.3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2" x14ac:dyDescent="0.25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ht="13" x14ac:dyDescent="0.3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5" customHeight="1" x14ac:dyDescent="0.25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6" x14ac:dyDescent="0.25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9" x14ac:dyDescent="0.25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5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9" hidden="1" x14ac:dyDescent="0.25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5" hidden="1" customHeight="1" x14ac:dyDescent="0.25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3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3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5" hidden="1" customHeight="1" x14ac:dyDescent="0.25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5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5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3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3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2" x14ac:dyDescent="0.25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5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26" x14ac:dyDescent="0.25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ht="13" x14ac:dyDescent="0.3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9" x14ac:dyDescent="0.3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6" x14ac:dyDescent="0.25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ht="13" x14ac:dyDescent="0.25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ht="13" x14ac:dyDescent="0.25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ht="13" x14ac:dyDescent="0.25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6" x14ac:dyDescent="0.25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ht="13" x14ac:dyDescent="0.25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t="13" hidden="1" x14ac:dyDescent="0.25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t="13" hidden="1" x14ac:dyDescent="0.25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ht="13" x14ac:dyDescent="0.3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ht="13" x14ac:dyDescent="0.25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9" x14ac:dyDescent="0.3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6" hidden="1" x14ac:dyDescent="0.3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6" hidden="1" x14ac:dyDescent="0.3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hidden="1" x14ac:dyDescent="0.3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13" x14ac:dyDescent="0.3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x14ac:dyDescent="0.3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x14ac:dyDescent="0.3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5" customHeight="1" x14ac:dyDescent="0.3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ht="13" x14ac:dyDescent="0.3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9" hidden="1" x14ac:dyDescent="0.3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hidden="1" x14ac:dyDescent="0.3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5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ht="13" x14ac:dyDescent="0.3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ht="13" x14ac:dyDescent="0.3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9" hidden="1" x14ac:dyDescent="0.25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6" hidden="1" x14ac:dyDescent="0.25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t="13" hidden="1" x14ac:dyDescent="0.25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6" hidden="1" x14ac:dyDescent="0.25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t="13" hidden="1" x14ac:dyDescent="0.25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t="13" hidden="1" x14ac:dyDescent="0.3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6" hidden="1" x14ac:dyDescent="0.25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6" hidden="1" x14ac:dyDescent="0.3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t="13" hidden="1" x14ac:dyDescent="0.3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t="13" hidden="1" x14ac:dyDescent="0.3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" hidden="1" x14ac:dyDescent="0.3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hidden="1" x14ac:dyDescent="0.3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hidden="1" x14ac:dyDescent="0.3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6" hidden="1" x14ac:dyDescent="0.3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13" hidden="1" x14ac:dyDescent="0.3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ht="13" x14ac:dyDescent="0.3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ht="13" x14ac:dyDescent="0.3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ht="13" x14ac:dyDescent="0.3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ht="13" x14ac:dyDescent="0.3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ht="13" x14ac:dyDescent="0.3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9" hidden="1" x14ac:dyDescent="0.3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t="13" hidden="1" x14ac:dyDescent="0.3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3" hidden="1" x14ac:dyDescent="0.3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13" x14ac:dyDescent="0.3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ht="13" x14ac:dyDescent="0.3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ht="13" x14ac:dyDescent="0.3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9" hidden="1" x14ac:dyDescent="0.3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9" hidden="1" x14ac:dyDescent="0.3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5" hidden="1" customHeight="1" x14ac:dyDescent="0.3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2713" t="s">
        <v>20</v>
      </c>
      <c r="H459" s="2714"/>
      <c r="I459" s="2714"/>
      <c r="J459" s="2715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5" hidden="1" customHeight="1" x14ac:dyDescent="0.25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2713" t="s">
        <v>17</v>
      </c>
      <c r="H460" s="2714"/>
      <c r="I460" s="2714"/>
      <c r="J460" s="2715"/>
      <c r="K460" s="41"/>
      <c r="L460" s="2"/>
      <c r="M460" s="40"/>
      <c r="N460" s="833"/>
      <c r="O460" s="1"/>
      <c r="P460" s="1"/>
    </row>
    <row r="461" spans="1:24" ht="26" hidden="1" x14ac:dyDescent="0.3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t="13" hidden="1" x14ac:dyDescent="0.3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t="13" hidden="1" x14ac:dyDescent="0.3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t="13" hidden="1" x14ac:dyDescent="0.3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t="13" hidden="1" x14ac:dyDescent="0.3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t="13" hidden="1" x14ac:dyDescent="0.3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t="13" hidden="1" x14ac:dyDescent="0.25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6" hidden="1" x14ac:dyDescent="0.25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t="13" hidden="1" x14ac:dyDescent="0.25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t="13" hidden="1" x14ac:dyDescent="0.3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6" hidden="1" x14ac:dyDescent="0.25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6" hidden="1" x14ac:dyDescent="0.25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t="13" hidden="1" x14ac:dyDescent="0.25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9" hidden="1" x14ac:dyDescent="0.25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6" hidden="1" x14ac:dyDescent="0.25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t="13" hidden="1" x14ac:dyDescent="0.25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6" hidden="1" x14ac:dyDescent="0.25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t="13" hidden="1" x14ac:dyDescent="0.3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t="13" hidden="1" x14ac:dyDescent="0.25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6" hidden="1" x14ac:dyDescent="0.25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6" hidden="1" x14ac:dyDescent="0.25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t="13" hidden="1" x14ac:dyDescent="0.3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5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5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5" hidden="1" customHeight="1" x14ac:dyDescent="0.3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5" hidden="1" customHeight="1" x14ac:dyDescent="0.25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5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5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2713" t="s">
        <v>20</v>
      </c>
      <c r="H488" s="2714"/>
      <c r="I488" s="2714"/>
      <c r="J488" s="2715"/>
      <c r="K488" s="45"/>
      <c r="L488" s="44"/>
      <c r="M488" s="43"/>
      <c r="N488" s="833"/>
      <c r="O488" s="1"/>
      <c r="P488" s="1"/>
    </row>
    <row r="489" spans="1:16" ht="48" hidden="1" customHeight="1" x14ac:dyDescent="0.25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2713" t="s">
        <v>17</v>
      </c>
      <c r="H489" s="2714"/>
      <c r="I489" s="2714"/>
      <c r="J489" s="2715"/>
      <c r="K489" s="41"/>
      <c r="L489" s="2"/>
      <c r="M489" s="40"/>
      <c r="N489" s="833"/>
      <c r="O489" s="1"/>
      <c r="P489" s="1"/>
    </row>
    <row r="490" spans="1:16" ht="16.899999999999999" hidden="1" customHeight="1" x14ac:dyDescent="0.3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5" customHeight="1" x14ac:dyDescent="0.3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3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3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6" hidden="1" x14ac:dyDescent="0.3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3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3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3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3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5" customHeight="1" x14ac:dyDescent="0.3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3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3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3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5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5" customHeight="1" x14ac:dyDescent="0.25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3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3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3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3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3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3" x14ac:dyDescent="0.3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3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3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6" hidden="1" x14ac:dyDescent="0.3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t="13" hidden="1" x14ac:dyDescent="0.3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t="13" hidden="1" x14ac:dyDescent="0.3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6" hidden="1" x14ac:dyDescent="0.3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3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5">
      <c r="X518" s="1"/>
    </row>
  </sheetData>
  <mergeCells count="16">
    <mergeCell ref="G5:N5"/>
    <mergeCell ref="P1:U1"/>
    <mergeCell ref="I2:N2"/>
    <mergeCell ref="P2:U2"/>
    <mergeCell ref="F3:N3"/>
    <mergeCell ref="P4:U4"/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263" hidden="1" customWidth="1"/>
    <col min="11" max="11" width="14.7265625" style="263" hidden="1" customWidth="1"/>
    <col min="12" max="12" width="15.81640625" style="263" hidden="1" customWidth="1"/>
    <col min="13" max="13" width="18.7265625" style="263" hidden="1" customWidth="1"/>
    <col min="14" max="14" width="22.1796875" style="263" hidden="1" customWidth="1"/>
    <col min="15" max="15" width="22.1796875" style="263" customWidth="1"/>
    <col min="16" max="16" width="22.1796875" style="129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57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5" x14ac:dyDescent="0.3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2601" t="s">
        <v>450</v>
      </c>
      <c r="M2" s="2601"/>
      <c r="N2" s="2601"/>
      <c r="O2" s="2601"/>
      <c r="P2" s="2601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5" x14ac:dyDescent="0.3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5" x14ac:dyDescent="0.3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5" x14ac:dyDescent="0.25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5" hidden="1" x14ac:dyDescent="0.3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5" hidden="1" x14ac:dyDescent="0.3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5" hidden="1" x14ac:dyDescent="0.3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5" hidden="1" x14ac:dyDescent="0.3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ht="13" x14ac:dyDescent="0.3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5" x14ac:dyDescent="0.3">
      <c r="A12" s="1"/>
      <c r="B12" s="2716"/>
      <c r="C12" s="2716"/>
      <c r="D12" s="2716"/>
      <c r="E12" s="2716"/>
      <c r="F12" s="2716"/>
      <c r="G12" s="2716"/>
      <c r="H12" s="2716"/>
      <c r="I12" s="2716"/>
      <c r="J12" s="271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5" customHeight="1" x14ac:dyDescent="0.3">
      <c r="A13" s="2717" t="s">
        <v>441</v>
      </c>
      <c r="B13" s="2717"/>
      <c r="C13" s="2717"/>
      <c r="D13" s="2717"/>
      <c r="E13" s="2717"/>
      <c r="F13" s="2717"/>
      <c r="G13" s="2717"/>
      <c r="H13" s="2717"/>
      <c r="I13" s="2717"/>
      <c r="J13" s="2717"/>
      <c r="K13" s="2717"/>
      <c r="L13" s="2717"/>
      <c r="M13" s="2717"/>
      <c r="N13" s="2717"/>
      <c r="O13" s="2717"/>
      <c r="P13" s="2717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5" customHeight="1" x14ac:dyDescent="0.3">
      <c r="A14" s="2717" t="s">
        <v>440</v>
      </c>
      <c r="B14" s="2717"/>
      <c r="C14" s="2717"/>
      <c r="D14" s="2717"/>
      <c r="E14" s="2717"/>
      <c r="F14" s="2717"/>
      <c r="G14" s="2717"/>
      <c r="H14" s="2717"/>
      <c r="I14" s="2717"/>
      <c r="J14" s="2717"/>
      <c r="K14" s="2717"/>
      <c r="L14" s="2717"/>
      <c r="M14" s="2717"/>
      <c r="N14" s="2717"/>
      <c r="O14" s="2717"/>
      <c r="P14" s="2717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3">
      <c r="A15" s="2717" t="s">
        <v>439</v>
      </c>
      <c r="B15" s="2717"/>
      <c r="C15" s="2717"/>
      <c r="D15" s="2717"/>
      <c r="E15" s="2717"/>
      <c r="F15" s="2717"/>
      <c r="G15" s="2717"/>
      <c r="H15" s="2717"/>
      <c r="I15" s="2717"/>
      <c r="J15" s="2717"/>
      <c r="K15" s="2717"/>
      <c r="L15" s="2717"/>
      <c r="M15" s="2717"/>
      <c r="N15" s="2717"/>
      <c r="O15" s="2717"/>
      <c r="P15" s="2717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3">
      <c r="A16" s="2717" t="s">
        <v>438</v>
      </c>
      <c r="B16" s="2717"/>
      <c r="C16" s="2717"/>
      <c r="D16" s="2717"/>
      <c r="E16" s="2717"/>
      <c r="F16" s="2717"/>
      <c r="G16" s="2717"/>
      <c r="H16" s="2717"/>
      <c r="I16" s="2717"/>
      <c r="J16" s="2717"/>
      <c r="K16" s="2717"/>
      <c r="L16" s="2717"/>
      <c r="M16" s="2717"/>
      <c r="N16" s="2717"/>
      <c r="O16" s="2717"/>
      <c r="P16" s="2717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3">
      <c r="A17" s="2717" t="s">
        <v>898</v>
      </c>
      <c r="B17" s="2717"/>
      <c r="C17" s="2717"/>
      <c r="D17" s="2717"/>
      <c r="E17" s="2717"/>
      <c r="F17" s="2717"/>
      <c r="G17" s="2717"/>
      <c r="H17" s="2717"/>
      <c r="I17" s="2717"/>
      <c r="J17" s="2717"/>
      <c r="K17" s="2717"/>
      <c r="L17" s="2717"/>
      <c r="M17" s="2717"/>
      <c r="N17" s="2717"/>
      <c r="O17" s="2717"/>
      <c r="P17" s="2717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3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3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26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3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3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3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3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3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3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3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3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3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3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3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3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5.5" hidden="1" thickBot="1" x14ac:dyDescent="0.3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5.5" hidden="1" thickBot="1" x14ac:dyDescent="0.3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3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52.5" hidden="1" thickBot="1" x14ac:dyDescent="0.3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3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5.5" hidden="1" thickBot="1" x14ac:dyDescent="0.3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5.5" hidden="1" thickBot="1" x14ac:dyDescent="0.3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5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5" hidden="1" customHeight="1" x14ac:dyDescent="0.3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52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52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3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3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5.5" hidden="1" thickBot="1" x14ac:dyDescent="0.3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719" t="s">
        <v>20</v>
      </c>
      <c r="H127" s="2720"/>
      <c r="I127" s="2720"/>
      <c r="J127" s="2721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713" t="s">
        <v>17</v>
      </c>
      <c r="H128" s="2714"/>
      <c r="I128" s="2714"/>
      <c r="J128" s="2715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3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5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5" hidden="1" customHeight="1" x14ac:dyDescent="0.3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5.5" hidden="1" thickBot="1" x14ac:dyDescent="0.3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3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5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49999999999999" hidden="1" customHeight="1" x14ac:dyDescent="0.3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5.5" hidden="1" thickBot="1" x14ac:dyDescent="0.3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3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5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3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5" hidden="1" customHeight="1" x14ac:dyDescent="0.25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5.5" hidden="1" thickBot="1" x14ac:dyDescent="0.3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3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3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3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5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3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3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3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52.5" hidden="1" thickBot="1" x14ac:dyDescent="0.3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5.5" hidden="1" thickBot="1" x14ac:dyDescent="0.3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5" hidden="1" customHeight="1" x14ac:dyDescent="0.25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3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52.5" hidden="1" thickBot="1" x14ac:dyDescent="0.3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5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3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" x14ac:dyDescent="0.25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" x14ac:dyDescent="0.25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6" hidden="1" x14ac:dyDescent="0.3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9" x14ac:dyDescent="0.25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5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52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52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5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5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5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3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13" x14ac:dyDescent="0.25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ht="13" x14ac:dyDescent="0.3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ht="13" x14ac:dyDescent="0.3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5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ht="13" x14ac:dyDescent="0.3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ht="13" x14ac:dyDescent="0.3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ht="13" x14ac:dyDescent="0.3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13" x14ac:dyDescent="0.25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5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9" hidden="1" x14ac:dyDescent="0.25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5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6" hidden="1" x14ac:dyDescent="0.3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9" x14ac:dyDescent="0.25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6" x14ac:dyDescent="0.25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6" x14ac:dyDescent="0.25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6" x14ac:dyDescent="0.3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ht="13" x14ac:dyDescent="0.25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ht="13" x14ac:dyDescent="0.25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5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6" x14ac:dyDescent="0.3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2" x14ac:dyDescent="0.25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ht="13" x14ac:dyDescent="0.25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5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5" customHeight="1" x14ac:dyDescent="0.3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3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hidden="1" x14ac:dyDescent="0.3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5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5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5" customHeight="1" x14ac:dyDescent="0.25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5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ht="13" x14ac:dyDescent="0.3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5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49999999999999" hidden="1" customHeight="1" x14ac:dyDescent="0.3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ht="13" x14ac:dyDescent="0.3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5" x14ac:dyDescent="0.25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9" x14ac:dyDescent="0.25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9" x14ac:dyDescent="0.25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6" x14ac:dyDescent="0.25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ht="13" x14ac:dyDescent="0.3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6" x14ac:dyDescent="0.25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6" x14ac:dyDescent="0.25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ht="13" x14ac:dyDescent="0.3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39.5" hidden="1" thickBot="1" x14ac:dyDescent="0.3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5" hidden="1" thickBot="1" x14ac:dyDescent="0.3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5" hidden="1" customHeight="1" x14ac:dyDescent="0.3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.5" hidden="1" thickBot="1" x14ac:dyDescent="0.3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3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2" x14ac:dyDescent="0.25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9" x14ac:dyDescent="0.25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4.5" x14ac:dyDescent="0.25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3" x14ac:dyDescent="0.25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3" x14ac:dyDescent="0.25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ht="13" x14ac:dyDescent="0.25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9" x14ac:dyDescent="0.25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4.5" x14ac:dyDescent="0.25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3" x14ac:dyDescent="0.25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3" x14ac:dyDescent="0.25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ht="13" x14ac:dyDescent="0.25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5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9" x14ac:dyDescent="0.3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0" x14ac:dyDescent="0.3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13" x14ac:dyDescent="0.3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0" x14ac:dyDescent="0.3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13" x14ac:dyDescent="0.3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0" x14ac:dyDescent="0.3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9" x14ac:dyDescent="0.3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ht="13" x14ac:dyDescent="0.3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3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5" customHeight="1" x14ac:dyDescent="0.3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5" customHeight="1" x14ac:dyDescent="0.3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5" customHeight="1" x14ac:dyDescent="0.3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3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3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3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3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3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3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3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3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9" hidden="1" x14ac:dyDescent="0.3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t="13" hidden="1" x14ac:dyDescent="0.3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9" hidden="1" x14ac:dyDescent="0.3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9" hidden="1" x14ac:dyDescent="0.25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t="13" hidden="1" x14ac:dyDescent="0.25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9" hidden="1" x14ac:dyDescent="0.3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9" hidden="1" x14ac:dyDescent="0.25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9" hidden="1" x14ac:dyDescent="0.3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52" hidden="1" x14ac:dyDescent="0.25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t="13" hidden="1" x14ac:dyDescent="0.25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9" hidden="1" x14ac:dyDescent="0.3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2" hidden="1" x14ac:dyDescent="0.25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5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26" hidden="1" x14ac:dyDescent="0.25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t="13" hidden="1" x14ac:dyDescent="0.3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9" hidden="1" x14ac:dyDescent="0.3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52" hidden="1" x14ac:dyDescent="0.25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t="13" hidden="1" x14ac:dyDescent="0.3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9" hidden="1" x14ac:dyDescent="0.3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650000000000006" hidden="1" customHeight="1" x14ac:dyDescent="0.25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5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3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3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5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3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5" hidden="1" customHeight="1" x14ac:dyDescent="0.25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3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3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t="13" hidden="1" x14ac:dyDescent="0.25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6" hidden="1" x14ac:dyDescent="0.3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39" x14ac:dyDescent="0.25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ht="13" x14ac:dyDescent="0.3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9" x14ac:dyDescent="0.25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6" x14ac:dyDescent="0.25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9" x14ac:dyDescent="0.25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5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9" hidden="1" x14ac:dyDescent="0.25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5" hidden="1" customHeight="1" x14ac:dyDescent="0.25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3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3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5" hidden="1" customHeight="1" x14ac:dyDescent="0.25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 t="shared" ref="N390:N393" si="42"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5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 t="shared" si="42"/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5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 t="shared" si="42"/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3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 t="shared" si="42"/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3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2" x14ac:dyDescent="0.25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3">N396</f>
        <v>1450.866</v>
      </c>
      <c r="O395" s="650">
        <f t="shared" si="43"/>
        <v>1573.104</v>
      </c>
      <c r="P395" s="1313">
        <f t="shared" si="43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5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3"/>
        <v>1450.866</v>
      </c>
      <c r="O396" s="653">
        <f t="shared" si="43"/>
        <v>1573.104</v>
      </c>
      <c r="P396" s="1310">
        <f t="shared" si="43"/>
        <v>1636.028</v>
      </c>
    </row>
    <row r="397" spans="1:257" ht="26" x14ac:dyDescent="0.25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3"/>
        <v>1450.866</v>
      </c>
      <c r="O397" s="646">
        <f t="shared" si="43"/>
        <v>1573.104</v>
      </c>
      <c r="P397" s="1317">
        <f t="shared" si="43"/>
        <v>1636.028</v>
      </c>
    </row>
    <row r="398" spans="1:257" ht="13" x14ac:dyDescent="0.3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3"/>
        <v>1450.866</v>
      </c>
      <c r="O398" s="646">
        <f t="shared" si="43"/>
        <v>1573.104</v>
      </c>
      <c r="P398" s="1317">
        <f t="shared" si="43"/>
        <v>1636.028</v>
      </c>
    </row>
    <row r="399" spans="1:257" ht="39" x14ac:dyDescent="0.3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6" x14ac:dyDescent="0.25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4">N401</f>
        <v>293.2</v>
      </c>
      <c r="O400" s="655">
        <f t="shared" si="44"/>
        <v>500</v>
      </c>
      <c r="P400" s="1313">
        <f t="shared" si="44"/>
        <v>600</v>
      </c>
    </row>
    <row r="401" spans="1:24" ht="13" x14ac:dyDescent="0.25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4"/>
        <v>293.2</v>
      </c>
      <c r="O401" s="656">
        <f t="shared" si="44"/>
        <v>500</v>
      </c>
      <c r="P401" s="1310">
        <f t="shared" si="44"/>
        <v>600</v>
      </c>
    </row>
    <row r="402" spans="1:24" ht="13" x14ac:dyDescent="0.25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ht="13" x14ac:dyDescent="0.25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5">N404</f>
        <v>260</v>
      </c>
      <c r="O403" s="656">
        <f>O404+O408</f>
        <v>500</v>
      </c>
      <c r="P403" s="1310">
        <f>P404+P408</f>
        <v>600</v>
      </c>
    </row>
    <row r="404" spans="1:24" ht="26" x14ac:dyDescent="0.25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5"/>
        <v>260</v>
      </c>
      <c r="O404" s="656">
        <f t="shared" si="45"/>
        <v>400</v>
      </c>
      <c r="P404" s="1310">
        <f t="shared" si="45"/>
        <v>500</v>
      </c>
    </row>
    <row r="405" spans="1:24" ht="13" x14ac:dyDescent="0.25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t="13" hidden="1" x14ac:dyDescent="0.25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t="13" hidden="1" x14ac:dyDescent="0.25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ht="13" x14ac:dyDescent="0.3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ht="13" x14ac:dyDescent="0.25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9" x14ac:dyDescent="0.3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6" hidden="1" x14ac:dyDescent="0.3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6" hidden="1" x14ac:dyDescent="0.3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t="13" hidden="1" x14ac:dyDescent="0.3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ht="13" x14ac:dyDescent="0.3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ht="13" x14ac:dyDescent="0.3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13" x14ac:dyDescent="0.3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6">N417</f>
        <v>883.69100000000003</v>
      </c>
      <c r="O416" s="644">
        <f t="shared" si="46"/>
        <v>639.61699999999996</v>
      </c>
      <c r="P416" s="1311">
        <f t="shared" si="46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5" customHeight="1" x14ac:dyDescent="0.3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6"/>
        <v>883.69100000000003</v>
      </c>
      <c r="O417" s="656">
        <f t="shared" si="46"/>
        <v>639.61699999999996</v>
      </c>
      <c r="P417" s="1310">
        <f t="shared" si="46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x14ac:dyDescent="0.3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39" hidden="1" x14ac:dyDescent="0.3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hidden="1" x14ac:dyDescent="0.3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hidden="1" x14ac:dyDescent="0.3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5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ht="13" x14ac:dyDescent="0.3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ht="13" x14ac:dyDescent="0.3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9" hidden="1" x14ac:dyDescent="0.25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6" hidden="1" x14ac:dyDescent="0.25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t="13" hidden="1" x14ac:dyDescent="0.25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6" hidden="1" x14ac:dyDescent="0.25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t="13" hidden="1" x14ac:dyDescent="0.25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t="13" hidden="1" x14ac:dyDescent="0.3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2" hidden="1" x14ac:dyDescent="0.25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6" hidden="1" x14ac:dyDescent="0.3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t="13" hidden="1" x14ac:dyDescent="0.3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ht="13" x14ac:dyDescent="0.3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6" x14ac:dyDescent="0.3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ht="13" x14ac:dyDescent="0.3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t="13" hidden="1" x14ac:dyDescent="0.3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t="13" hidden="1" x14ac:dyDescent="0.3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13" x14ac:dyDescent="0.3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9" hidden="1" x14ac:dyDescent="0.3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9" hidden="1" x14ac:dyDescent="0.3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6" hidden="1" x14ac:dyDescent="0.3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2713" t="s">
        <v>20</v>
      </c>
      <c r="H445" s="2714"/>
      <c r="I445" s="2714"/>
      <c r="J445" s="2715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5" hidden="1" customHeight="1" x14ac:dyDescent="0.25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2713" t="s">
        <v>17</v>
      </c>
      <c r="H446" s="2714"/>
      <c r="I446" s="2714"/>
      <c r="J446" s="2715"/>
      <c r="K446" s="41"/>
      <c r="L446" s="2"/>
      <c r="M446" s="40"/>
      <c r="N446" s="2"/>
      <c r="O446" s="2"/>
      <c r="P446" s="433"/>
    </row>
    <row r="447" spans="1:24" ht="26" hidden="1" x14ac:dyDescent="0.3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t="13" hidden="1" x14ac:dyDescent="0.3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t="13" hidden="1" x14ac:dyDescent="0.3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t="13" hidden="1" x14ac:dyDescent="0.3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t="13" hidden="1" x14ac:dyDescent="0.3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t="13" hidden="1" x14ac:dyDescent="0.3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7">J453</f>
        <v>153.32</v>
      </c>
      <c r="K452" s="656">
        <f t="shared" si="47"/>
        <v>172</v>
      </c>
      <c r="L452" s="656">
        <f t="shared" si="47"/>
        <v>172</v>
      </c>
      <c r="M452" s="656">
        <f t="shared" si="47"/>
        <v>172</v>
      </c>
      <c r="N452" s="656">
        <f t="shared" si="47"/>
        <v>131.85499999999999</v>
      </c>
      <c r="O452" s="656">
        <f t="shared" si="47"/>
        <v>0</v>
      </c>
      <c r="P452" s="1310">
        <f t="shared" si="47"/>
        <v>0</v>
      </c>
    </row>
    <row r="453" spans="1:257" ht="13" hidden="1" x14ac:dyDescent="0.25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6" hidden="1" x14ac:dyDescent="0.25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8">N455</f>
        <v>4460.87</v>
      </c>
      <c r="O454" s="655">
        <f t="shared" si="48"/>
        <v>0</v>
      </c>
      <c r="P454" s="1313">
        <f t="shared" si="48"/>
        <v>0</v>
      </c>
    </row>
    <row r="455" spans="1:257" ht="13" hidden="1" x14ac:dyDescent="0.25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8"/>
        <v>4460.87</v>
      </c>
      <c r="O455" s="656">
        <f t="shared" si="48"/>
        <v>0</v>
      </c>
      <c r="P455" s="1310">
        <f t="shared" si="48"/>
        <v>0</v>
      </c>
    </row>
    <row r="456" spans="1:257" ht="13" hidden="1" x14ac:dyDescent="0.3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6" hidden="1" x14ac:dyDescent="0.25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9">N458</f>
        <v>0</v>
      </c>
      <c r="O457" s="1343">
        <f t="shared" si="49"/>
        <v>0</v>
      </c>
      <c r="P457" s="1344">
        <f t="shared" si="49"/>
        <v>0</v>
      </c>
    </row>
    <row r="458" spans="1:257" ht="26" hidden="1" x14ac:dyDescent="0.25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9"/>
        <v>0</v>
      </c>
      <c r="O458" s="1343">
        <f t="shared" si="49"/>
        <v>0</v>
      </c>
      <c r="P458" s="1344">
        <f t="shared" si="49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t="13" hidden="1" x14ac:dyDescent="0.25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9" hidden="1" x14ac:dyDescent="0.25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50">N461</f>
        <v>0</v>
      </c>
      <c r="O460" s="1343">
        <f t="shared" si="50"/>
        <v>0</v>
      </c>
      <c r="P460" s="1344">
        <f t="shared" si="50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6" hidden="1" x14ac:dyDescent="0.25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50"/>
        <v>0</v>
      </c>
      <c r="O461" s="1343">
        <f t="shared" si="50"/>
        <v>0</v>
      </c>
      <c r="P461" s="1344">
        <f t="shared" si="50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t="13" hidden="1" x14ac:dyDescent="0.25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6" hidden="1" x14ac:dyDescent="0.25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6" hidden="1" x14ac:dyDescent="0.25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t="13" hidden="1" x14ac:dyDescent="0.3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5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5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5" hidden="1" customHeight="1" x14ac:dyDescent="0.3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5" hidden="1" customHeight="1" x14ac:dyDescent="0.25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5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5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2713" t="s">
        <v>20</v>
      </c>
      <c r="H471" s="2714"/>
      <c r="I471" s="2714"/>
      <c r="J471" s="2715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5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2713" t="s">
        <v>17</v>
      </c>
      <c r="H472" s="2714"/>
      <c r="I472" s="2714"/>
      <c r="J472" s="2715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3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6" hidden="1" x14ac:dyDescent="0.3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3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3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3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3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7" customHeight="1" x14ac:dyDescent="0.3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3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3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3" x14ac:dyDescent="0.3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1">N483</f>
        <v>713.495</v>
      </c>
      <c r="O482" s="28">
        <f t="shared" si="51"/>
        <v>947.01</v>
      </c>
      <c r="P482" s="27">
        <f t="shared" si="51"/>
        <v>947.01</v>
      </c>
      <c r="X482" s="1"/>
    </row>
    <row r="483" spans="1:24" ht="16.899999999999999" customHeight="1" x14ac:dyDescent="0.3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1"/>
        <v>713.495</v>
      </c>
      <c r="O483" s="28">
        <f t="shared" si="51"/>
        <v>947.01</v>
      </c>
      <c r="P483" s="27">
        <f t="shared" si="51"/>
        <v>947.01</v>
      </c>
      <c r="X483" s="1"/>
    </row>
    <row r="484" spans="1:24" ht="16.899999999999999" customHeight="1" x14ac:dyDescent="0.3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6" x14ac:dyDescent="0.3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ht="13" x14ac:dyDescent="0.3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ht="13" x14ac:dyDescent="0.3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6" x14ac:dyDescent="0.3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3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6" x14ac:dyDescent="0.25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6" x14ac:dyDescent="0.25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ht="13" x14ac:dyDescent="0.3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3" hidden="1" x14ac:dyDescent="0.3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2">M494</f>
        <v>139.6</v>
      </c>
      <c r="N493" s="1435">
        <f t="shared" si="52"/>
        <v>851</v>
      </c>
      <c r="O493" s="1485">
        <f t="shared" si="52"/>
        <v>0</v>
      </c>
      <c r="P493" s="1347">
        <f t="shared" si="52"/>
        <v>0</v>
      </c>
      <c r="X493" s="1"/>
    </row>
    <row r="494" spans="1:24" ht="13" hidden="1" x14ac:dyDescent="0.3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2"/>
        <v>139.6</v>
      </c>
      <c r="N494" s="1436">
        <f t="shared" si="52"/>
        <v>851</v>
      </c>
      <c r="O494" s="1484">
        <f t="shared" si="52"/>
        <v>0</v>
      </c>
      <c r="P494" s="1349">
        <f t="shared" si="52"/>
        <v>0</v>
      </c>
    </row>
    <row r="495" spans="1:24" ht="13" hidden="1" x14ac:dyDescent="0.3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3" x14ac:dyDescent="0.3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>N497</f>
        <v>0</v>
      </c>
      <c r="O496" s="1485">
        <f t="shared" ref="O496:P497" si="53">O497</f>
        <v>1953.6</v>
      </c>
      <c r="P496" s="1347">
        <f t="shared" si="53"/>
        <v>1953.6</v>
      </c>
    </row>
    <row r="497" spans="1:16" ht="13" x14ac:dyDescent="0.3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>N498</f>
        <v>0</v>
      </c>
      <c r="O497" s="1484">
        <f t="shared" si="53"/>
        <v>1953.6</v>
      </c>
      <c r="P497" s="1349">
        <f t="shared" si="53"/>
        <v>1953.6</v>
      </c>
    </row>
    <row r="498" spans="1:16" ht="13.5" thickBot="1" x14ac:dyDescent="0.3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A16:P16"/>
    <mergeCell ref="L2:P2"/>
    <mergeCell ref="B12:J12"/>
    <mergeCell ref="A13:P13"/>
    <mergeCell ref="A14:P14"/>
    <mergeCell ref="A15:P15"/>
    <mergeCell ref="G472:J472"/>
    <mergeCell ref="A17:P17"/>
    <mergeCell ref="G127:J127"/>
    <mergeCell ref="G128:J128"/>
    <mergeCell ref="G445:J445"/>
    <mergeCell ref="G446:J446"/>
    <mergeCell ref="G471:J471"/>
  </mergeCells>
  <pageMargins left="0.59055118110236227" right="0.59055118110236227" top="0.31496062992125984" bottom="0.31496062992125984" header="0.31496062992125984" footer="0.31496062992125984"/>
  <pageSetup scale="53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23</vt:i4>
      </vt:variant>
    </vt:vector>
  </HeadingPairs>
  <TitlesOfParts>
    <vt:vector size="47" baseType="lpstr">
      <vt:lpstr>прил2 дох 2019-2021 </vt:lpstr>
      <vt:lpstr>прил4 дох 2020 21</vt:lpstr>
      <vt:lpstr>прил2 дох 2020-2022..</vt:lpstr>
      <vt:lpstr>прил2 дох 2020-2022.</vt:lpstr>
      <vt:lpstr>прил 5 2020-2022.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6 2020-2022..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5 2019-2021 '!Область_печати</vt:lpstr>
      <vt:lpstr>'прил 5 2020-2022'!Область_печати</vt:lpstr>
      <vt:lpstr>'прил 5 2020-2022.'!Область_печати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2020-2022..'!Область_печати</vt:lpstr>
      <vt:lpstr>'прил 7 2017 '!Область_печати</vt:lpstr>
      <vt:lpstr>'прил 7 2020-2022'!Область_печати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2020-2022..'!Область_печати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1</cp:lastModifiedBy>
  <cp:lastPrinted>2020-04-01T16:57:02Z</cp:lastPrinted>
  <dcterms:created xsi:type="dcterms:W3CDTF">2016-11-18T06:27:13Z</dcterms:created>
  <dcterms:modified xsi:type="dcterms:W3CDTF">2020-04-04T12:33:57Z</dcterms:modified>
</cp:coreProperties>
</file>