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70" windowWidth="18180" windowHeight="6580"/>
  </bookViews>
  <sheets>
    <sheet name="прил 3 2019-2021" sheetId="1" r:id="rId1"/>
  </sheets>
  <externalReferences>
    <externalReference r:id="rId2"/>
  </externalReferences>
  <definedNames>
    <definedName name="_xlnm._FilterDatabase" localSheetId="0" hidden="1">'прил 3 2019-2021'!$A$195:$IV$311</definedName>
    <definedName name="_xlnm.Print_Area" localSheetId="0">'прил 3 2019-2021'!$A$1:$R$599</definedName>
  </definedNames>
  <calcPr calcId="144525" iterate="1"/>
</workbook>
</file>

<file path=xl/calcChain.xml><?xml version="1.0" encoding="utf-8"?>
<calcChain xmlns="http://schemas.openxmlformats.org/spreadsheetml/2006/main">
  <c r="P599" i="1" l="1"/>
  <c r="O599" i="1"/>
  <c r="O598" i="1" s="1"/>
  <c r="O595" i="1" s="1"/>
  <c r="J599" i="1"/>
  <c r="R598" i="1"/>
  <c r="Q598" i="1"/>
  <c r="P598" i="1"/>
  <c r="N598" i="1"/>
  <c r="J598" i="1"/>
  <c r="P597" i="1"/>
  <c r="P596" i="1" s="1"/>
  <c r="P595" i="1" s="1"/>
  <c r="O597" i="1"/>
  <c r="J597" i="1"/>
  <c r="R596" i="1"/>
  <c r="Q596" i="1"/>
  <c r="Q595" i="1" s="1"/>
  <c r="O596" i="1"/>
  <c r="N596" i="1"/>
  <c r="J596" i="1"/>
  <c r="R595" i="1"/>
  <c r="N595" i="1"/>
  <c r="M595" i="1"/>
  <c r="L595" i="1"/>
  <c r="J595" i="1"/>
  <c r="N594" i="1"/>
  <c r="R593" i="1"/>
  <c r="Q593" i="1"/>
  <c r="Q592" i="1" s="1"/>
  <c r="P593" i="1"/>
  <c r="P592" i="1" s="1"/>
  <c r="O593" i="1"/>
  <c r="N593" i="1"/>
  <c r="J593" i="1"/>
  <c r="J592" i="1" s="1"/>
  <c r="R592" i="1"/>
  <c r="O592" i="1"/>
  <c r="N592" i="1"/>
  <c r="R590" i="1"/>
  <c r="R589" i="1" s="1"/>
  <c r="Q590" i="1"/>
  <c r="N590" i="1"/>
  <c r="N589" i="1" s="1"/>
  <c r="Q589" i="1"/>
  <c r="R587" i="1"/>
  <c r="Q587" i="1"/>
  <c r="N587" i="1"/>
  <c r="M587" i="1"/>
  <c r="R586" i="1"/>
  <c r="Q586" i="1"/>
  <c r="N586" i="1"/>
  <c r="M586" i="1"/>
  <c r="N584" i="1"/>
  <c r="N583" i="1" s="1"/>
  <c r="N579" i="1"/>
  <c r="N578" i="1"/>
  <c r="N577" i="1"/>
  <c r="J577" i="1"/>
  <c r="R576" i="1"/>
  <c r="Q576" i="1"/>
  <c r="Q573" i="1" s="1"/>
  <c r="N576" i="1"/>
  <c r="N573" i="1" s="1"/>
  <c r="J576" i="1"/>
  <c r="N575" i="1"/>
  <c r="J575" i="1"/>
  <c r="R574" i="1"/>
  <c r="Q574" i="1"/>
  <c r="N574" i="1"/>
  <c r="J574" i="1"/>
  <c r="J573" i="1" s="1"/>
  <c r="R573" i="1"/>
  <c r="M573" i="1"/>
  <c r="L573" i="1"/>
  <c r="N572" i="1"/>
  <c r="N571" i="1" s="1"/>
  <c r="N570" i="1" s="1"/>
  <c r="J569" i="1"/>
  <c r="R568" i="1"/>
  <c r="R567" i="1" s="1"/>
  <c r="Q568" i="1"/>
  <c r="N568" i="1"/>
  <c r="N567" i="1" s="1"/>
  <c r="Q567" i="1"/>
  <c r="J566" i="1"/>
  <c r="J565" i="1" s="1"/>
  <c r="R565" i="1"/>
  <c r="Q565" i="1"/>
  <c r="P565" i="1"/>
  <c r="O565" i="1"/>
  <c r="N565" i="1"/>
  <c r="J564" i="1"/>
  <c r="J563" i="1" s="1"/>
  <c r="J562" i="1" s="1"/>
  <c r="J475" i="1" s="1"/>
  <c r="J480" i="1" s="1"/>
  <c r="J479" i="1" s="1"/>
  <c r="R563" i="1"/>
  <c r="R562" i="1" s="1"/>
  <c r="Q563" i="1"/>
  <c r="P563" i="1"/>
  <c r="O563" i="1"/>
  <c r="O562" i="1" s="1"/>
  <c r="N563" i="1"/>
  <c r="N562" i="1" s="1"/>
  <c r="Q562" i="1"/>
  <c r="P562" i="1"/>
  <c r="R561" i="1"/>
  <c r="R560" i="1" s="1"/>
  <c r="R559" i="1" s="1"/>
  <c r="Q561" i="1"/>
  <c r="N561" i="1"/>
  <c r="N560" i="1" s="1"/>
  <c r="N559" i="1" s="1"/>
  <c r="Q560" i="1"/>
  <c r="Q559" i="1" s="1"/>
  <c r="R555" i="1"/>
  <c r="Q555" i="1"/>
  <c r="P555" i="1"/>
  <c r="O555" i="1"/>
  <c r="N555" i="1"/>
  <c r="M555" i="1"/>
  <c r="L555" i="1"/>
  <c r="J555" i="1"/>
  <c r="R554" i="1"/>
  <c r="Q554" i="1"/>
  <c r="P554" i="1"/>
  <c r="O554" i="1"/>
  <c r="N554" i="1"/>
  <c r="M554" i="1"/>
  <c r="L554" i="1"/>
  <c r="J554" i="1"/>
  <c r="M551" i="1"/>
  <c r="L551" i="1"/>
  <c r="R549" i="1"/>
  <c r="Q549" i="1"/>
  <c r="Q548" i="1" s="1"/>
  <c r="P549" i="1"/>
  <c r="O549" i="1"/>
  <c r="N549" i="1"/>
  <c r="R548" i="1"/>
  <c r="P548" i="1"/>
  <c r="O548" i="1"/>
  <c r="N548" i="1"/>
  <c r="M548" i="1"/>
  <c r="L548" i="1"/>
  <c r="R546" i="1"/>
  <c r="R545" i="1" s="1"/>
  <c r="Q546" i="1"/>
  <c r="Q545" i="1" s="1"/>
  <c r="N546" i="1"/>
  <c r="N545" i="1"/>
  <c r="J544" i="1"/>
  <c r="R543" i="1"/>
  <c r="Q543" i="1"/>
  <c r="P543" i="1"/>
  <c r="P542" i="1" s="1"/>
  <c r="O543" i="1"/>
  <c r="N543" i="1"/>
  <c r="J543" i="1"/>
  <c r="R542" i="1"/>
  <c r="Q542" i="1"/>
  <c r="O542" i="1"/>
  <c r="N542" i="1"/>
  <c r="J542" i="1"/>
  <c r="AC540" i="1"/>
  <c r="R540" i="1"/>
  <c r="Q540" i="1"/>
  <c r="Q539" i="1" s="1"/>
  <c r="P540" i="1"/>
  <c r="O540" i="1"/>
  <c r="N540" i="1"/>
  <c r="J540" i="1"/>
  <c r="J539" i="1" s="1"/>
  <c r="R539" i="1"/>
  <c r="P539" i="1"/>
  <c r="O539" i="1"/>
  <c r="N539" i="1"/>
  <c r="R537" i="1"/>
  <c r="Q537" i="1"/>
  <c r="Q536" i="1" s="1"/>
  <c r="P537" i="1"/>
  <c r="O537" i="1"/>
  <c r="N537" i="1"/>
  <c r="J537" i="1"/>
  <c r="J536" i="1" s="1"/>
  <c r="R536" i="1"/>
  <c r="P536" i="1"/>
  <c r="O536" i="1"/>
  <c r="N536" i="1"/>
  <c r="R534" i="1"/>
  <c r="Q534" i="1"/>
  <c r="Q531" i="1" s="1"/>
  <c r="P534" i="1"/>
  <c r="O534" i="1"/>
  <c r="N534" i="1"/>
  <c r="M534" i="1"/>
  <c r="L534" i="1"/>
  <c r="K534" i="1"/>
  <c r="J534" i="1"/>
  <c r="N533" i="1"/>
  <c r="N532" i="1" s="1"/>
  <c r="N531" i="1" s="1"/>
  <c r="R532" i="1"/>
  <c r="Q532" i="1"/>
  <c r="P532" i="1"/>
  <c r="O532" i="1"/>
  <c r="O531" i="1" s="1"/>
  <c r="R531" i="1"/>
  <c r="P531" i="1"/>
  <c r="J531" i="1"/>
  <c r="N529" i="1"/>
  <c r="N528" i="1" s="1"/>
  <c r="N527" i="1"/>
  <c r="N526" i="1"/>
  <c r="N524" i="1"/>
  <c r="N523" i="1"/>
  <c r="J522" i="1"/>
  <c r="R521" i="1"/>
  <c r="Q521" i="1"/>
  <c r="Q518" i="1" s="1"/>
  <c r="Q517" i="1" s="1"/>
  <c r="P521" i="1"/>
  <c r="P518" i="1" s="1"/>
  <c r="P517" i="1" s="1"/>
  <c r="O521" i="1"/>
  <c r="N521" i="1"/>
  <c r="J521" i="1"/>
  <c r="R518" i="1"/>
  <c r="O518" i="1"/>
  <c r="N518" i="1"/>
  <c r="M518" i="1"/>
  <c r="L518" i="1"/>
  <c r="J518" i="1"/>
  <c r="R517" i="1"/>
  <c r="O517" i="1"/>
  <c r="N517" i="1"/>
  <c r="M517" i="1"/>
  <c r="L517" i="1"/>
  <c r="J517" i="1"/>
  <c r="N516" i="1"/>
  <c r="N515" i="1" s="1"/>
  <c r="N514" i="1" s="1"/>
  <c r="R515" i="1"/>
  <c r="Q515" i="1"/>
  <c r="P515" i="1"/>
  <c r="P514" i="1" s="1"/>
  <c r="O515" i="1"/>
  <c r="J515" i="1"/>
  <c r="R514" i="1"/>
  <c r="Q514" i="1"/>
  <c r="O514" i="1"/>
  <c r="M514" i="1"/>
  <c r="L514" i="1"/>
  <c r="J514" i="1"/>
  <c r="R512" i="1"/>
  <c r="R511" i="1" s="1"/>
  <c r="Q512" i="1"/>
  <c r="N512" i="1"/>
  <c r="Q511" i="1"/>
  <c r="N511" i="1"/>
  <c r="N510" i="1"/>
  <c r="N509" i="1"/>
  <c r="N508" i="1"/>
  <c r="R507" i="1"/>
  <c r="Q507" i="1"/>
  <c r="N507" i="1"/>
  <c r="N506" i="1" s="1"/>
  <c r="N505" i="1" s="1"/>
  <c r="R506" i="1"/>
  <c r="Q506" i="1"/>
  <c r="R505" i="1"/>
  <c r="Q505" i="1"/>
  <c r="R503" i="1"/>
  <c r="Q503" i="1"/>
  <c r="P503" i="1"/>
  <c r="P502" i="1" s="1"/>
  <c r="O503" i="1"/>
  <c r="N503" i="1"/>
  <c r="J503" i="1"/>
  <c r="R502" i="1"/>
  <c r="Q502" i="1"/>
  <c r="O502" i="1"/>
  <c r="N502" i="1"/>
  <c r="M502" i="1"/>
  <c r="L502" i="1"/>
  <c r="J502" i="1"/>
  <c r="R500" i="1"/>
  <c r="R499" i="1" s="1"/>
  <c r="Q500" i="1"/>
  <c r="P500" i="1"/>
  <c r="O500" i="1"/>
  <c r="O499" i="1" s="1"/>
  <c r="N500" i="1"/>
  <c r="N499" i="1" s="1"/>
  <c r="J500" i="1"/>
  <c r="Q499" i="1"/>
  <c r="P499" i="1"/>
  <c r="M499" i="1"/>
  <c r="L499" i="1"/>
  <c r="J499" i="1"/>
  <c r="R493" i="1"/>
  <c r="Q493" i="1"/>
  <c r="P493" i="1"/>
  <c r="O493" i="1"/>
  <c r="N493" i="1"/>
  <c r="J493" i="1"/>
  <c r="N489" i="1"/>
  <c r="N488" i="1" s="1"/>
  <c r="N487" i="1" s="1"/>
  <c r="J489" i="1"/>
  <c r="R488" i="1"/>
  <c r="Q488" i="1"/>
  <c r="Q487" i="1" s="1"/>
  <c r="P488" i="1"/>
  <c r="P487" i="1" s="1"/>
  <c r="O488" i="1"/>
  <c r="J488" i="1"/>
  <c r="R487" i="1"/>
  <c r="O487" i="1"/>
  <c r="M487" i="1"/>
  <c r="L487" i="1"/>
  <c r="J487" i="1"/>
  <c r="R485" i="1"/>
  <c r="R484" i="1" s="1"/>
  <c r="Q485" i="1"/>
  <c r="N485" i="1"/>
  <c r="Q484" i="1"/>
  <c r="N484" i="1"/>
  <c r="N483" i="1"/>
  <c r="R482" i="1"/>
  <c r="Q482" i="1"/>
  <c r="Q481" i="1" s="1"/>
  <c r="P482" i="1"/>
  <c r="P481" i="1" s="1"/>
  <c r="O482" i="1"/>
  <c r="N482" i="1"/>
  <c r="M482" i="1"/>
  <c r="L482" i="1"/>
  <c r="K482" i="1"/>
  <c r="J482" i="1"/>
  <c r="J481" i="1" s="1"/>
  <c r="R481" i="1"/>
  <c r="O481" i="1"/>
  <c r="N481" i="1"/>
  <c r="N480" i="1"/>
  <c r="N479" i="1"/>
  <c r="R475" i="1"/>
  <c r="R480" i="1" s="1"/>
  <c r="R479" i="1" s="1"/>
  <c r="Q475" i="1"/>
  <c r="Q480" i="1" s="1"/>
  <c r="Q479" i="1" s="1"/>
  <c r="P475" i="1"/>
  <c r="P480" i="1" s="1"/>
  <c r="P479" i="1" s="1"/>
  <c r="O475" i="1"/>
  <c r="O480" i="1" s="1"/>
  <c r="O479" i="1" s="1"/>
  <c r="N475" i="1"/>
  <c r="M475" i="1"/>
  <c r="L475" i="1"/>
  <c r="N474" i="1"/>
  <c r="J474" i="1"/>
  <c r="J473" i="1" s="1"/>
  <c r="R473" i="1"/>
  <c r="Q473" i="1"/>
  <c r="P473" i="1"/>
  <c r="O473" i="1"/>
  <c r="N473" i="1"/>
  <c r="N472" i="1"/>
  <c r="R471" i="1"/>
  <c r="Q471" i="1"/>
  <c r="N471" i="1"/>
  <c r="R469" i="1"/>
  <c r="Q469" i="1"/>
  <c r="P469" i="1"/>
  <c r="O469" i="1"/>
  <c r="N469" i="1"/>
  <c r="J469" i="1"/>
  <c r="N468" i="1"/>
  <c r="N467" i="1" s="1"/>
  <c r="N466" i="1" s="1"/>
  <c r="R467" i="1"/>
  <c r="Q467" i="1"/>
  <c r="P467" i="1"/>
  <c r="P466" i="1" s="1"/>
  <c r="O467" i="1"/>
  <c r="O466" i="1" s="1"/>
  <c r="J467" i="1"/>
  <c r="R466" i="1"/>
  <c r="Q466" i="1"/>
  <c r="M466" i="1"/>
  <c r="L466" i="1"/>
  <c r="J466" i="1"/>
  <c r="R465" i="1"/>
  <c r="R464" i="1" s="1"/>
  <c r="R463" i="1" s="1"/>
  <c r="Q465" i="1"/>
  <c r="Q464" i="1" s="1"/>
  <c r="Q463" i="1" s="1"/>
  <c r="P465" i="1"/>
  <c r="O465" i="1"/>
  <c r="N465" i="1"/>
  <c r="N464" i="1" s="1"/>
  <c r="N463" i="1" s="1"/>
  <c r="J465" i="1"/>
  <c r="J463" i="1" s="1"/>
  <c r="P464" i="1"/>
  <c r="O464" i="1"/>
  <c r="O463" i="1" s="1"/>
  <c r="P463" i="1"/>
  <c r="M463" i="1"/>
  <c r="L463" i="1"/>
  <c r="N462" i="1"/>
  <c r="J462" i="1"/>
  <c r="J461" i="1" s="1"/>
  <c r="J460" i="1" s="1"/>
  <c r="J459" i="1" s="1"/>
  <c r="J458" i="1" s="1"/>
  <c r="R461" i="1"/>
  <c r="R460" i="1" s="1"/>
  <c r="R459" i="1" s="1"/>
  <c r="R458" i="1" s="1"/>
  <c r="Q461" i="1"/>
  <c r="P461" i="1"/>
  <c r="O461" i="1"/>
  <c r="O460" i="1" s="1"/>
  <c r="O459" i="1" s="1"/>
  <c r="O458" i="1" s="1"/>
  <c r="N461" i="1"/>
  <c r="N460" i="1" s="1"/>
  <c r="N459" i="1" s="1"/>
  <c r="N458" i="1" s="1"/>
  <c r="Q460" i="1"/>
  <c r="P460" i="1"/>
  <c r="M460" i="1"/>
  <c r="L460" i="1"/>
  <c r="Q459" i="1"/>
  <c r="Q458" i="1" s="1"/>
  <c r="P459" i="1"/>
  <c r="P458" i="1" s="1"/>
  <c r="R457" i="1"/>
  <c r="Q457" i="1"/>
  <c r="Q456" i="1" s="1"/>
  <c r="Q455" i="1" s="1"/>
  <c r="Q454" i="1" s="1"/>
  <c r="Q453" i="1" s="1"/>
  <c r="N457" i="1"/>
  <c r="N456" i="1" s="1"/>
  <c r="N455" i="1" s="1"/>
  <c r="N454" i="1" s="1"/>
  <c r="N453" i="1" s="1"/>
  <c r="R456" i="1"/>
  <c r="P456" i="1"/>
  <c r="O456" i="1"/>
  <c r="O455" i="1" s="1"/>
  <c r="O454" i="1" s="1"/>
  <c r="O453" i="1" s="1"/>
  <c r="O385" i="1" s="1"/>
  <c r="R455" i="1"/>
  <c r="P455" i="1"/>
  <c r="P454" i="1" s="1"/>
  <c r="P453" i="1" s="1"/>
  <c r="P385" i="1" s="1"/>
  <c r="R454" i="1"/>
  <c r="R453" i="1"/>
  <c r="R451" i="1"/>
  <c r="Q451" i="1"/>
  <c r="P451" i="1"/>
  <c r="O451" i="1"/>
  <c r="O450" i="1" s="1"/>
  <c r="O449" i="1" s="1"/>
  <c r="O448" i="1" s="1"/>
  <c r="N451" i="1"/>
  <c r="J451" i="1"/>
  <c r="R450" i="1"/>
  <c r="Q450" i="1"/>
  <c r="P450" i="1"/>
  <c r="N450" i="1"/>
  <c r="M450" i="1"/>
  <c r="L450" i="1"/>
  <c r="J450" i="1"/>
  <c r="R449" i="1"/>
  <c r="Q449" i="1"/>
  <c r="P449" i="1"/>
  <c r="N449" i="1"/>
  <c r="M449" i="1"/>
  <c r="L449" i="1"/>
  <c r="J449" i="1"/>
  <c r="R448" i="1"/>
  <c r="Q448" i="1"/>
  <c r="P448" i="1"/>
  <c r="N448" i="1"/>
  <c r="M448" i="1"/>
  <c r="L448" i="1"/>
  <c r="J448" i="1"/>
  <c r="N447" i="1"/>
  <c r="J447" i="1"/>
  <c r="J446" i="1" s="1"/>
  <c r="J443" i="1" s="1"/>
  <c r="R446" i="1"/>
  <c r="Q446" i="1"/>
  <c r="P446" i="1"/>
  <c r="O446" i="1"/>
  <c r="N446" i="1"/>
  <c r="M445" i="1"/>
  <c r="L445" i="1"/>
  <c r="J445" i="1"/>
  <c r="R444" i="1"/>
  <c r="Q444" i="1"/>
  <c r="P444" i="1"/>
  <c r="O444" i="1"/>
  <c r="N444" i="1"/>
  <c r="M444" i="1"/>
  <c r="L444" i="1"/>
  <c r="J444" i="1"/>
  <c r="R443" i="1"/>
  <c r="Q443" i="1"/>
  <c r="P443" i="1"/>
  <c r="O443" i="1"/>
  <c r="N443" i="1"/>
  <c r="M443" i="1"/>
  <c r="L443" i="1"/>
  <c r="N442" i="1"/>
  <c r="R441" i="1"/>
  <c r="Q441" i="1"/>
  <c r="P441" i="1"/>
  <c r="O441" i="1"/>
  <c r="N441" i="1"/>
  <c r="R440" i="1"/>
  <c r="Q440" i="1"/>
  <c r="P440" i="1"/>
  <c r="O440" i="1"/>
  <c r="N440" i="1"/>
  <c r="J440" i="1"/>
  <c r="R437" i="1"/>
  <c r="Q437" i="1"/>
  <c r="P437" i="1"/>
  <c r="P436" i="1" s="1"/>
  <c r="O437" i="1"/>
  <c r="N437" i="1"/>
  <c r="J437" i="1"/>
  <c r="R436" i="1"/>
  <c r="Q436" i="1"/>
  <c r="O436" i="1"/>
  <c r="N436" i="1"/>
  <c r="M436" i="1"/>
  <c r="L436" i="1"/>
  <c r="J436" i="1"/>
  <c r="R434" i="1"/>
  <c r="R432" i="1" s="1"/>
  <c r="Q434" i="1"/>
  <c r="P434" i="1"/>
  <c r="O434" i="1"/>
  <c r="O432" i="1" s="1"/>
  <c r="N434" i="1"/>
  <c r="N432" i="1" s="1"/>
  <c r="J434" i="1"/>
  <c r="Q432" i="1"/>
  <c r="P432" i="1"/>
  <c r="M432" i="1"/>
  <c r="L432" i="1"/>
  <c r="J432" i="1"/>
  <c r="R430" i="1"/>
  <c r="Q430" i="1"/>
  <c r="Q429" i="1" s="1"/>
  <c r="P430" i="1"/>
  <c r="P429" i="1" s="1"/>
  <c r="O430" i="1"/>
  <c r="N430" i="1"/>
  <c r="J430" i="1"/>
  <c r="R429" i="1"/>
  <c r="O429" i="1"/>
  <c r="N429" i="1"/>
  <c r="M429" i="1"/>
  <c r="L429" i="1"/>
  <c r="J429" i="1"/>
  <c r="R427" i="1"/>
  <c r="R426" i="1" s="1"/>
  <c r="R425" i="1" s="1"/>
  <c r="R424" i="1" s="1"/>
  <c r="Q427" i="1"/>
  <c r="P427" i="1"/>
  <c r="O427" i="1"/>
  <c r="O426" i="1" s="1"/>
  <c r="O425" i="1" s="1"/>
  <c r="O424" i="1" s="1"/>
  <c r="N427" i="1"/>
  <c r="N426" i="1" s="1"/>
  <c r="N425" i="1" s="1"/>
  <c r="N424" i="1" s="1"/>
  <c r="J427" i="1"/>
  <c r="Q426" i="1"/>
  <c r="P426" i="1"/>
  <c r="M426" i="1"/>
  <c r="L426" i="1"/>
  <c r="J426" i="1"/>
  <c r="Q425" i="1"/>
  <c r="P425" i="1"/>
  <c r="P424" i="1" s="1"/>
  <c r="J425" i="1"/>
  <c r="J424" i="1" s="1"/>
  <c r="Q424" i="1"/>
  <c r="R422" i="1"/>
  <c r="Q422" i="1"/>
  <c r="Q421" i="1" s="1"/>
  <c r="P422" i="1"/>
  <c r="P421" i="1" s="1"/>
  <c r="O422" i="1"/>
  <c r="N422" i="1"/>
  <c r="J422" i="1"/>
  <c r="J421" i="1" s="1"/>
  <c r="R421" i="1"/>
  <c r="O421" i="1"/>
  <c r="N421" i="1"/>
  <c r="R417" i="1"/>
  <c r="Q417" i="1"/>
  <c r="Q416" i="1" s="1"/>
  <c r="P417" i="1"/>
  <c r="P416" i="1" s="1"/>
  <c r="O417" i="1"/>
  <c r="N417" i="1"/>
  <c r="J417" i="1"/>
  <c r="J416" i="1" s="1"/>
  <c r="R416" i="1"/>
  <c r="O416" i="1"/>
  <c r="N416" i="1"/>
  <c r="R414" i="1"/>
  <c r="Q414" i="1"/>
  <c r="Q413" i="1" s="1"/>
  <c r="P414" i="1"/>
  <c r="P413" i="1" s="1"/>
  <c r="O414" i="1"/>
  <c r="N414" i="1"/>
  <c r="J414" i="1"/>
  <c r="J413" i="1" s="1"/>
  <c r="R413" i="1"/>
  <c r="O413" i="1"/>
  <c r="N413" i="1"/>
  <c r="R412" i="1"/>
  <c r="Q412" i="1"/>
  <c r="P412" i="1"/>
  <c r="O412" i="1"/>
  <c r="M412" i="1"/>
  <c r="L412" i="1"/>
  <c r="J412" i="1"/>
  <c r="L410" i="1"/>
  <c r="M410" i="1" s="1"/>
  <c r="R407" i="1"/>
  <c r="Q407" i="1"/>
  <c r="N407" i="1"/>
  <c r="N406" i="1"/>
  <c r="N405" i="1" s="1"/>
  <c r="R405" i="1"/>
  <c r="Q405" i="1"/>
  <c r="N404" i="1"/>
  <c r="N403" i="1" s="1"/>
  <c r="R403" i="1"/>
  <c r="Q403" i="1"/>
  <c r="P403" i="1"/>
  <c r="O403" i="1"/>
  <c r="J403" i="1"/>
  <c r="N400" i="1"/>
  <c r="J400" i="1"/>
  <c r="R399" i="1"/>
  <c r="Q399" i="1"/>
  <c r="P399" i="1"/>
  <c r="O399" i="1"/>
  <c r="N399" i="1"/>
  <c r="J399" i="1"/>
  <c r="R398" i="1"/>
  <c r="Q398" i="1"/>
  <c r="P398" i="1"/>
  <c r="O398" i="1"/>
  <c r="N398" i="1"/>
  <c r="M398" i="1"/>
  <c r="L398" i="1"/>
  <c r="J398" i="1"/>
  <c r="N397" i="1"/>
  <c r="J397" i="1"/>
  <c r="J395" i="1"/>
  <c r="R394" i="1"/>
  <c r="Q394" i="1"/>
  <c r="P394" i="1"/>
  <c r="O394" i="1"/>
  <c r="N394" i="1"/>
  <c r="M394" i="1"/>
  <c r="L394" i="1"/>
  <c r="J394" i="1"/>
  <c r="R393" i="1"/>
  <c r="Q393" i="1"/>
  <c r="N393" i="1"/>
  <c r="R392" i="1"/>
  <c r="Q392" i="1"/>
  <c r="P392" i="1"/>
  <c r="P393" i="1" s="1"/>
  <c r="O392" i="1"/>
  <c r="O393" i="1" s="1"/>
  <c r="N392" i="1"/>
  <c r="M392" i="1"/>
  <c r="L392" i="1"/>
  <c r="J392" i="1"/>
  <c r="J393" i="1" s="1"/>
  <c r="R391" i="1"/>
  <c r="Q391" i="1"/>
  <c r="N391" i="1"/>
  <c r="R389" i="1"/>
  <c r="R388" i="1" s="1"/>
  <c r="R387" i="1" s="1"/>
  <c r="R386" i="1" s="1"/>
  <c r="R385" i="1" s="1"/>
  <c r="R384" i="1" s="1"/>
  <c r="Q389" i="1"/>
  <c r="N389" i="1"/>
  <c r="N388" i="1" s="1"/>
  <c r="N387" i="1" s="1"/>
  <c r="N386" i="1" s="1"/>
  <c r="Q388" i="1"/>
  <c r="Q387" i="1" s="1"/>
  <c r="Q386" i="1" s="1"/>
  <c r="M385" i="1"/>
  <c r="L385" i="1"/>
  <c r="M384" i="1"/>
  <c r="L384" i="1"/>
  <c r="N383" i="1"/>
  <c r="R382" i="1"/>
  <c r="R381" i="1" s="1"/>
  <c r="R380" i="1" s="1"/>
  <c r="R379" i="1" s="1"/>
  <c r="R378" i="1" s="1"/>
  <c r="R377" i="1" s="1"/>
  <c r="Q382" i="1"/>
  <c r="Q381" i="1" s="1"/>
  <c r="Q380" i="1" s="1"/>
  <c r="Q379" i="1" s="1"/>
  <c r="Q378" i="1" s="1"/>
  <c r="Q377" i="1" s="1"/>
  <c r="N382" i="1"/>
  <c r="N381" i="1"/>
  <c r="N380" i="1"/>
  <c r="N379" i="1" s="1"/>
  <c r="N376" i="1"/>
  <c r="R375" i="1"/>
  <c r="Q375" i="1"/>
  <c r="Q374" i="1" s="1"/>
  <c r="Q373" i="1" s="1"/>
  <c r="Q372" i="1" s="1"/>
  <c r="Q371" i="1" s="1"/>
  <c r="N375" i="1"/>
  <c r="R374" i="1"/>
  <c r="N374" i="1"/>
  <c r="N373" i="1" s="1"/>
  <c r="N372" i="1" s="1"/>
  <c r="N371" i="1" s="1"/>
  <c r="R373" i="1"/>
  <c r="R372" i="1"/>
  <c r="R371" i="1" s="1"/>
  <c r="R364" i="1"/>
  <c r="Q364" i="1"/>
  <c r="P364" i="1"/>
  <c r="P363" i="1" s="1"/>
  <c r="P362" i="1" s="1"/>
  <c r="P361" i="1" s="1"/>
  <c r="O364" i="1"/>
  <c r="N364" i="1"/>
  <c r="J364" i="1"/>
  <c r="R363" i="1"/>
  <c r="Q363" i="1"/>
  <c r="O363" i="1"/>
  <c r="N363" i="1"/>
  <c r="M363" i="1"/>
  <c r="L363" i="1"/>
  <c r="J363" i="1"/>
  <c r="R362" i="1"/>
  <c r="R361" i="1" s="1"/>
  <c r="Q362" i="1"/>
  <c r="O362" i="1"/>
  <c r="N362" i="1"/>
  <c r="N361" i="1" s="1"/>
  <c r="J362" i="1"/>
  <c r="Q361" i="1"/>
  <c r="O361" i="1"/>
  <c r="M361" i="1"/>
  <c r="L361" i="1"/>
  <c r="J361" i="1"/>
  <c r="R357" i="1"/>
  <c r="Q357" i="1"/>
  <c r="Q356" i="1" s="1"/>
  <c r="Q355" i="1" s="1"/>
  <c r="Q354" i="1" s="1"/>
  <c r="Q353" i="1" s="1"/>
  <c r="N357" i="1"/>
  <c r="N356" i="1" s="1"/>
  <c r="N355" i="1" s="1"/>
  <c r="N354" i="1" s="1"/>
  <c r="N353" i="1" s="1"/>
  <c r="N347" i="1" s="1"/>
  <c r="R356" i="1"/>
  <c r="R355" i="1"/>
  <c r="R354" i="1" s="1"/>
  <c r="R353" i="1" s="1"/>
  <c r="R351" i="1"/>
  <c r="Q351" i="1"/>
  <c r="R350" i="1"/>
  <c r="R349" i="1" s="1"/>
  <c r="R348" i="1" s="1"/>
  <c r="Q350" i="1"/>
  <c r="Q349" i="1" s="1"/>
  <c r="Q348" i="1" s="1"/>
  <c r="Q347" i="1" s="1"/>
  <c r="N345" i="1"/>
  <c r="N344" i="1" s="1"/>
  <c r="N343" i="1" s="1"/>
  <c r="N342" i="1" s="1"/>
  <c r="N341" i="1" s="1"/>
  <c r="N339" i="1"/>
  <c r="N338" i="1" s="1"/>
  <c r="N337" i="1" s="1"/>
  <c r="N336" i="1" s="1"/>
  <c r="N335" i="1" s="1"/>
  <c r="N333" i="1"/>
  <c r="N332" i="1"/>
  <c r="N331" i="1" s="1"/>
  <c r="N330" i="1" s="1"/>
  <c r="N329" i="1" s="1"/>
  <c r="N328" i="1"/>
  <c r="N327" i="1"/>
  <c r="N326" i="1" s="1"/>
  <c r="N325" i="1" s="1"/>
  <c r="N324" i="1" s="1"/>
  <c r="R326" i="1"/>
  <c r="Q326" i="1"/>
  <c r="P326" i="1"/>
  <c r="O326" i="1"/>
  <c r="O325" i="1" s="1"/>
  <c r="O318" i="1" s="1"/>
  <c r="O317" i="1" s="1"/>
  <c r="R325" i="1"/>
  <c r="Q325" i="1"/>
  <c r="P325" i="1"/>
  <c r="R324" i="1"/>
  <c r="Q324" i="1"/>
  <c r="R322" i="1"/>
  <c r="Q322" i="1"/>
  <c r="P322" i="1"/>
  <c r="O322" i="1"/>
  <c r="N322" i="1"/>
  <c r="N321" i="1"/>
  <c r="N320" i="1" s="1"/>
  <c r="N319" i="1" s="1"/>
  <c r="N318" i="1" s="1"/>
  <c r="R320" i="1"/>
  <c r="Q320" i="1"/>
  <c r="R319" i="1"/>
  <c r="Q319" i="1"/>
  <c r="P319" i="1"/>
  <c r="O319" i="1"/>
  <c r="R318" i="1"/>
  <c r="Q318" i="1"/>
  <c r="P318" i="1"/>
  <c r="R317" i="1"/>
  <c r="Q317" i="1"/>
  <c r="P317" i="1"/>
  <c r="N317" i="1"/>
  <c r="R314" i="1"/>
  <c r="Q314" i="1"/>
  <c r="N314" i="1"/>
  <c r="N313" i="1"/>
  <c r="N311" i="1" s="1"/>
  <c r="N310" i="1" s="1"/>
  <c r="R311" i="1"/>
  <c r="Q311" i="1"/>
  <c r="P311" i="1"/>
  <c r="O311" i="1"/>
  <c r="O310" i="1" s="1"/>
  <c r="J311" i="1"/>
  <c r="R310" i="1"/>
  <c r="Q310" i="1"/>
  <c r="P310" i="1"/>
  <c r="M310" i="1"/>
  <c r="L310" i="1"/>
  <c r="J310" i="1"/>
  <c r="N309" i="1"/>
  <c r="R308" i="1"/>
  <c r="R307" i="1" s="1"/>
  <c r="R306" i="1" s="1"/>
  <c r="R305" i="1" s="1"/>
  <c r="Q308" i="1"/>
  <c r="P308" i="1"/>
  <c r="O308" i="1"/>
  <c r="O307" i="1" s="1"/>
  <c r="O306" i="1" s="1"/>
  <c r="O305" i="1" s="1"/>
  <c r="N308" i="1"/>
  <c r="N307" i="1" s="1"/>
  <c r="N306" i="1" s="1"/>
  <c r="N305" i="1" s="1"/>
  <c r="J308" i="1"/>
  <c r="Q307" i="1"/>
  <c r="P307" i="1"/>
  <c r="M307" i="1"/>
  <c r="L307" i="1"/>
  <c r="J307" i="1"/>
  <c r="Q306" i="1"/>
  <c r="Q305" i="1" s="1"/>
  <c r="P306" i="1"/>
  <c r="P305" i="1" s="1"/>
  <c r="J306" i="1"/>
  <c r="M305" i="1"/>
  <c r="L305" i="1"/>
  <c r="J305" i="1"/>
  <c r="R304" i="1"/>
  <c r="R303" i="1" s="1"/>
  <c r="R302" i="1" s="1"/>
  <c r="Q303" i="1"/>
  <c r="N303" i="1"/>
  <c r="Q302" i="1"/>
  <c r="N302" i="1"/>
  <c r="R301" i="1"/>
  <c r="N301" i="1"/>
  <c r="R299" i="1"/>
  <c r="Q299" i="1"/>
  <c r="P299" i="1"/>
  <c r="O299" i="1"/>
  <c r="N299" i="1"/>
  <c r="J299" i="1"/>
  <c r="R298" i="1"/>
  <c r="Q298" i="1"/>
  <c r="P298" i="1"/>
  <c r="O298" i="1"/>
  <c r="N298" i="1"/>
  <c r="M298" i="1"/>
  <c r="L298" i="1"/>
  <c r="J298" i="1"/>
  <c r="R297" i="1"/>
  <c r="Q297" i="1"/>
  <c r="P297" i="1"/>
  <c r="O297" i="1"/>
  <c r="N297" i="1"/>
  <c r="J297" i="1"/>
  <c r="R296" i="1"/>
  <c r="Q296" i="1"/>
  <c r="P296" i="1"/>
  <c r="O296" i="1"/>
  <c r="N296" i="1"/>
  <c r="M296" i="1"/>
  <c r="L296" i="1"/>
  <c r="J296" i="1"/>
  <c r="N295" i="1"/>
  <c r="N294" i="1" s="1"/>
  <c r="N293" i="1" s="1"/>
  <c r="N289" i="1" s="1"/>
  <c r="R294" i="1"/>
  <c r="Q294" i="1"/>
  <c r="P294" i="1"/>
  <c r="O294" i="1"/>
  <c r="J294" i="1"/>
  <c r="R293" i="1"/>
  <c r="Q293" i="1"/>
  <c r="P293" i="1"/>
  <c r="O293" i="1"/>
  <c r="J293" i="1"/>
  <c r="N292" i="1"/>
  <c r="R291" i="1"/>
  <c r="Q291" i="1"/>
  <c r="P291" i="1"/>
  <c r="O291" i="1"/>
  <c r="N291" i="1"/>
  <c r="R290" i="1"/>
  <c r="Q290" i="1"/>
  <c r="P290" i="1"/>
  <c r="O290" i="1"/>
  <c r="N290" i="1"/>
  <c r="R289" i="1"/>
  <c r="Q289" i="1"/>
  <c r="P289" i="1"/>
  <c r="O289" i="1"/>
  <c r="M289" i="1"/>
  <c r="L289" i="1"/>
  <c r="J289" i="1"/>
  <c r="R288" i="1"/>
  <c r="Q288" i="1"/>
  <c r="P288" i="1"/>
  <c r="O288" i="1"/>
  <c r="N288" i="1"/>
  <c r="M288" i="1"/>
  <c r="L288" i="1"/>
  <c r="J288" i="1"/>
  <c r="R286" i="1"/>
  <c r="R285" i="1" s="1"/>
  <c r="Q286" i="1"/>
  <c r="P286" i="1"/>
  <c r="O286" i="1"/>
  <c r="N286" i="1"/>
  <c r="N285" i="1" s="1"/>
  <c r="J286" i="1"/>
  <c r="Q285" i="1"/>
  <c r="P285" i="1"/>
  <c r="O285" i="1"/>
  <c r="J285" i="1"/>
  <c r="R283" i="1"/>
  <c r="R282" i="1" s="1"/>
  <c r="Q283" i="1"/>
  <c r="Q282" i="1" s="1"/>
  <c r="P283" i="1"/>
  <c r="O283" i="1"/>
  <c r="N283" i="1"/>
  <c r="N282" i="1" s="1"/>
  <c r="J283" i="1"/>
  <c r="J282" i="1" s="1"/>
  <c r="P282" i="1"/>
  <c r="O282" i="1"/>
  <c r="N281" i="1"/>
  <c r="N279" i="1" s="1"/>
  <c r="L281" i="1"/>
  <c r="R279" i="1"/>
  <c r="Q279" i="1"/>
  <c r="P279" i="1"/>
  <c r="P278" i="1" s="1"/>
  <c r="O279" i="1"/>
  <c r="O278" i="1" s="1"/>
  <c r="L279" i="1"/>
  <c r="J279" i="1"/>
  <c r="R278" i="1"/>
  <c r="Q278" i="1"/>
  <c r="N278" i="1"/>
  <c r="J278" i="1"/>
  <c r="N277" i="1"/>
  <c r="R276" i="1"/>
  <c r="Q276" i="1"/>
  <c r="Q275" i="1" s="1"/>
  <c r="P276" i="1"/>
  <c r="P275" i="1" s="1"/>
  <c r="O276" i="1"/>
  <c r="N276" i="1"/>
  <c r="J276" i="1"/>
  <c r="R275" i="1"/>
  <c r="O275" i="1"/>
  <c r="N275" i="1"/>
  <c r="M275" i="1"/>
  <c r="L275" i="1"/>
  <c r="J275" i="1"/>
  <c r="R274" i="1"/>
  <c r="R273" i="1" s="1"/>
  <c r="R272" i="1" s="1"/>
  <c r="Q274" i="1"/>
  <c r="P274" i="1"/>
  <c r="O274" i="1"/>
  <c r="O273" i="1" s="1"/>
  <c r="O272" i="1" s="1"/>
  <c r="N274" i="1"/>
  <c r="N273" i="1" s="1"/>
  <c r="N272" i="1" s="1"/>
  <c r="J274" i="1"/>
  <c r="Q273" i="1"/>
  <c r="P273" i="1"/>
  <c r="P272" i="1" s="1"/>
  <c r="M273" i="1"/>
  <c r="L273" i="1"/>
  <c r="J273" i="1"/>
  <c r="Q272" i="1"/>
  <c r="M272" i="1"/>
  <c r="L272" i="1"/>
  <c r="J272" i="1"/>
  <c r="N271" i="1"/>
  <c r="R270" i="1"/>
  <c r="Q270" i="1"/>
  <c r="Q268" i="1" s="1"/>
  <c r="Q267" i="1" s="1"/>
  <c r="Q266" i="1" s="1"/>
  <c r="P270" i="1"/>
  <c r="O270" i="1"/>
  <c r="N270" i="1"/>
  <c r="R268" i="1"/>
  <c r="R267" i="1" s="1"/>
  <c r="R266" i="1" s="1"/>
  <c r="P268" i="1"/>
  <c r="O268" i="1"/>
  <c r="N268" i="1"/>
  <c r="N267" i="1" s="1"/>
  <c r="N266" i="1" s="1"/>
  <c r="M268" i="1"/>
  <c r="L268" i="1"/>
  <c r="J268" i="1"/>
  <c r="J266" i="1" s="1"/>
  <c r="J267" i="1" s="1"/>
  <c r="P267" i="1"/>
  <c r="O267" i="1"/>
  <c r="O266" i="1" s="1"/>
  <c r="P266" i="1"/>
  <c r="M266" i="1"/>
  <c r="L266" i="1"/>
  <c r="N265" i="1"/>
  <c r="R264" i="1"/>
  <c r="R263" i="1" s="1"/>
  <c r="R262" i="1" s="1"/>
  <c r="Q264" i="1"/>
  <c r="Q263" i="1" s="1"/>
  <c r="Q262" i="1" s="1"/>
  <c r="Q253" i="1" s="1"/>
  <c r="Q252" i="1" s="1"/>
  <c r="P264" i="1"/>
  <c r="O264" i="1"/>
  <c r="N264" i="1"/>
  <c r="N263" i="1" s="1"/>
  <c r="N262" i="1" s="1"/>
  <c r="J264" i="1"/>
  <c r="J263" i="1" s="1"/>
  <c r="J258" i="1" s="1"/>
  <c r="P263" i="1"/>
  <c r="O263" i="1"/>
  <c r="M263" i="1"/>
  <c r="L263" i="1"/>
  <c r="P262" i="1"/>
  <c r="O262" i="1"/>
  <c r="N261" i="1"/>
  <c r="R260" i="1"/>
  <c r="Q260" i="1"/>
  <c r="Q259" i="1" s="1"/>
  <c r="Q258" i="1" s="1"/>
  <c r="P260" i="1"/>
  <c r="O260" i="1"/>
  <c r="N260" i="1"/>
  <c r="R259" i="1"/>
  <c r="R258" i="1" s="1"/>
  <c r="P259" i="1"/>
  <c r="O259" i="1"/>
  <c r="N259" i="1"/>
  <c r="N258" i="1" s="1"/>
  <c r="N253" i="1" s="1"/>
  <c r="P258" i="1"/>
  <c r="O258" i="1"/>
  <c r="R256" i="1"/>
  <c r="R255" i="1" s="1"/>
  <c r="R254" i="1" s="1"/>
  <c r="Q256" i="1"/>
  <c r="Q255" i="1" s="1"/>
  <c r="Q254" i="1" s="1"/>
  <c r="P256" i="1"/>
  <c r="O256" i="1"/>
  <c r="N256" i="1"/>
  <c r="N255" i="1" s="1"/>
  <c r="N254" i="1" s="1"/>
  <c r="J256" i="1"/>
  <c r="J255" i="1" s="1"/>
  <c r="J254" i="1" s="1"/>
  <c r="J253" i="1" s="1"/>
  <c r="J252" i="1" s="1"/>
  <c r="P255" i="1"/>
  <c r="O255" i="1"/>
  <c r="M255" i="1"/>
  <c r="L255" i="1"/>
  <c r="L253" i="1" s="1"/>
  <c r="L252" i="1" s="1"/>
  <c r="P254" i="1"/>
  <c r="P253" i="1" s="1"/>
  <c r="P252" i="1" s="1"/>
  <c r="O254" i="1"/>
  <c r="O253" i="1" s="1"/>
  <c r="O252" i="1" s="1"/>
  <c r="M253" i="1"/>
  <c r="M252" i="1"/>
  <c r="N251" i="1"/>
  <c r="R249" i="1"/>
  <c r="R248" i="1" s="1"/>
  <c r="R247" i="1" s="1"/>
  <c r="Q249" i="1"/>
  <c r="P249" i="1"/>
  <c r="O249" i="1"/>
  <c r="O248" i="1" s="1"/>
  <c r="N249" i="1"/>
  <c r="N248" i="1" s="1"/>
  <c r="N247" i="1" s="1"/>
  <c r="J249" i="1"/>
  <c r="Q248" i="1"/>
  <c r="Q246" i="1" s="1"/>
  <c r="Q242" i="1" s="1"/>
  <c r="P248" i="1"/>
  <c r="P246" i="1" s="1"/>
  <c r="P242" i="1" s="1"/>
  <c r="M248" i="1"/>
  <c r="M246" i="1" s="1"/>
  <c r="M242" i="1" s="1"/>
  <c r="L248" i="1"/>
  <c r="L246" i="1" s="1"/>
  <c r="J248" i="1"/>
  <c r="Q247" i="1"/>
  <c r="J247" i="1"/>
  <c r="R246" i="1"/>
  <c r="R242" i="1" s="1"/>
  <c r="N246" i="1"/>
  <c r="N242" i="1" s="1"/>
  <c r="J246" i="1"/>
  <c r="J242" i="1" s="1"/>
  <c r="R244" i="1"/>
  <c r="R243" i="1" s="1"/>
  <c r="Q244" i="1"/>
  <c r="N244" i="1"/>
  <c r="N243" i="1" s="1"/>
  <c r="Q243" i="1"/>
  <c r="L242" i="1"/>
  <c r="M241" i="1"/>
  <c r="R240" i="1"/>
  <c r="Q240" i="1"/>
  <c r="P240" i="1"/>
  <c r="O240" i="1"/>
  <c r="N240" i="1"/>
  <c r="J240" i="1"/>
  <c r="N239" i="1"/>
  <c r="R238" i="1"/>
  <c r="Q238" i="1"/>
  <c r="P238" i="1"/>
  <c r="O238" i="1"/>
  <c r="N238" i="1"/>
  <c r="L238" i="1"/>
  <c r="J238" i="1"/>
  <c r="N237" i="1"/>
  <c r="R236" i="1"/>
  <c r="R235" i="1" s="1"/>
  <c r="R234" i="1" s="1"/>
  <c r="R233" i="1" s="1"/>
  <c r="R232" i="1" s="1"/>
  <c r="Q236" i="1"/>
  <c r="Q235" i="1" s="1"/>
  <c r="Q234" i="1" s="1"/>
  <c r="P236" i="1"/>
  <c r="O236" i="1"/>
  <c r="N236" i="1"/>
  <c r="N235" i="1" s="1"/>
  <c r="N234" i="1" s="1"/>
  <c r="N233" i="1" s="1"/>
  <c r="N232" i="1" s="1"/>
  <c r="J236" i="1"/>
  <c r="P235" i="1"/>
  <c r="P233" i="1" s="1"/>
  <c r="P232" i="1" s="1"/>
  <c r="O235" i="1"/>
  <c r="O233" i="1" s="1"/>
  <c r="O232" i="1" s="1"/>
  <c r="M235" i="1"/>
  <c r="J235" i="1"/>
  <c r="P234" i="1"/>
  <c r="Q233" i="1"/>
  <c r="Q232" i="1" s="1"/>
  <c r="M233" i="1"/>
  <c r="M221" i="1" s="1"/>
  <c r="M232" i="1"/>
  <c r="R231" i="1"/>
  <c r="R230" i="1" s="1"/>
  <c r="Q231" i="1"/>
  <c r="Q230" i="1" s="1"/>
  <c r="Q229" i="1" s="1"/>
  <c r="N231" i="1"/>
  <c r="P230" i="1"/>
  <c r="P229" i="1" s="1"/>
  <c r="P225" i="1" s="1"/>
  <c r="P222" i="1" s="1"/>
  <c r="P221" i="1" s="1"/>
  <c r="O230" i="1"/>
  <c r="N230" i="1"/>
  <c r="J230" i="1"/>
  <c r="R229" i="1"/>
  <c r="R225" i="1" s="1"/>
  <c r="O229" i="1"/>
  <c r="O225" i="1" s="1"/>
  <c r="O222" i="1" s="1"/>
  <c r="N229" i="1"/>
  <c r="M229" i="1"/>
  <c r="L229" i="1"/>
  <c r="J229" i="1"/>
  <c r="R227" i="1"/>
  <c r="R226" i="1" s="1"/>
  <c r="Q227" i="1"/>
  <c r="N227" i="1"/>
  <c r="N226" i="1" s="1"/>
  <c r="Q226" i="1"/>
  <c r="J225" i="1"/>
  <c r="R222" i="1"/>
  <c r="R221" i="1" s="1"/>
  <c r="M222" i="1"/>
  <c r="L222" i="1"/>
  <c r="J222" i="1"/>
  <c r="R214" i="1"/>
  <c r="R213" i="1" s="1"/>
  <c r="Q214" i="1"/>
  <c r="P214" i="1"/>
  <c r="O214" i="1"/>
  <c r="O213" i="1" s="1"/>
  <c r="N214" i="1"/>
  <c r="N213" i="1" s="1"/>
  <c r="J214" i="1"/>
  <c r="Q213" i="1"/>
  <c r="P213" i="1"/>
  <c r="J213" i="1"/>
  <c r="R212" i="1"/>
  <c r="Q212" i="1"/>
  <c r="P212" i="1"/>
  <c r="O212" i="1"/>
  <c r="N212" i="1"/>
  <c r="M212" i="1"/>
  <c r="L212" i="1"/>
  <c r="J212" i="1"/>
  <c r="R210" i="1"/>
  <c r="Q210" i="1"/>
  <c r="P210" i="1"/>
  <c r="O210" i="1"/>
  <c r="N210" i="1"/>
  <c r="M210" i="1"/>
  <c r="L210" i="1"/>
  <c r="J210" i="1"/>
  <c r="N209" i="1"/>
  <c r="R208" i="1"/>
  <c r="Q208" i="1"/>
  <c r="P208" i="1"/>
  <c r="O208" i="1"/>
  <c r="O206" i="1" s="1"/>
  <c r="O205" i="1" s="1"/>
  <c r="J208" i="1"/>
  <c r="R207" i="1"/>
  <c r="Q207" i="1"/>
  <c r="P207" i="1"/>
  <c r="O207" i="1"/>
  <c r="J207" i="1"/>
  <c r="R206" i="1"/>
  <c r="Q206" i="1"/>
  <c r="P206" i="1"/>
  <c r="P205" i="1" s="1"/>
  <c r="L206" i="1"/>
  <c r="J206" i="1"/>
  <c r="R205" i="1"/>
  <c r="Q205" i="1"/>
  <c r="M205" i="1"/>
  <c r="L205" i="1"/>
  <c r="J205" i="1"/>
  <c r="J197" i="1" s="1"/>
  <c r="R202" i="1"/>
  <c r="R201" i="1" s="1"/>
  <c r="R200" i="1" s="1"/>
  <c r="Q202" i="1"/>
  <c r="P202" i="1"/>
  <c r="O202" i="1"/>
  <c r="O201" i="1" s="1"/>
  <c r="O200" i="1" s="1"/>
  <c r="N202" i="1"/>
  <c r="N201" i="1" s="1"/>
  <c r="N200" i="1" s="1"/>
  <c r="J202" i="1"/>
  <c r="Q201" i="1"/>
  <c r="P201" i="1"/>
  <c r="P200" i="1" s="1"/>
  <c r="P197" i="1" s="1"/>
  <c r="M201" i="1"/>
  <c r="L201" i="1"/>
  <c r="L200" i="1" s="1"/>
  <c r="L197" i="1" s="1"/>
  <c r="J201" i="1"/>
  <c r="Q200" i="1"/>
  <c r="M200" i="1"/>
  <c r="J200" i="1"/>
  <c r="Q197" i="1"/>
  <c r="M197" i="1"/>
  <c r="R189" i="1"/>
  <c r="Q189" i="1"/>
  <c r="Q188" i="1" s="1"/>
  <c r="Q181" i="1" s="1"/>
  <c r="P189" i="1"/>
  <c r="P188" i="1" s="1"/>
  <c r="P181" i="1" s="1"/>
  <c r="O189" i="1"/>
  <c r="N189" i="1"/>
  <c r="L189" i="1"/>
  <c r="J189" i="1"/>
  <c r="J188" i="1" s="1"/>
  <c r="J181" i="1" s="1"/>
  <c r="R188" i="1"/>
  <c r="O188" i="1"/>
  <c r="N188" i="1"/>
  <c r="M188" i="1"/>
  <c r="L188" i="1"/>
  <c r="R185" i="1"/>
  <c r="Q185" i="1"/>
  <c r="P185" i="1"/>
  <c r="O185" i="1"/>
  <c r="N185" i="1"/>
  <c r="M185" i="1"/>
  <c r="L185" i="1"/>
  <c r="J185" i="1"/>
  <c r="R184" i="1"/>
  <c r="Q184" i="1"/>
  <c r="P184" i="1"/>
  <c r="O184" i="1"/>
  <c r="N184" i="1"/>
  <c r="M184" i="1"/>
  <c r="L184" i="1"/>
  <c r="J184" i="1"/>
  <c r="R181" i="1"/>
  <c r="O181" i="1"/>
  <c r="O180" i="1" s="1"/>
  <c r="N181" i="1"/>
  <c r="M181" i="1"/>
  <c r="L181" i="1"/>
  <c r="R180" i="1"/>
  <c r="N180" i="1"/>
  <c r="M180" i="1"/>
  <c r="L180" i="1"/>
  <c r="R179" i="1"/>
  <c r="O179" i="1"/>
  <c r="N179" i="1"/>
  <c r="M179" i="1"/>
  <c r="L179" i="1"/>
  <c r="R177" i="1"/>
  <c r="Q177" i="1"/>
  <c r="P177" i="1"/>
  <c r="O177" i="1"/>
  <c r="N177" i="1"/>
  <c r="M177" i="1"/>
  <c r="L177" i="1"/>
  <c r="J177" i="1"/>
  <c r="R176" i="1"/>
  <c r="Q176" i="1"/>
  <c r="P176" i="1"/>
  <c r="O176" i="1"/>
  <c r="N176" i="1"/>
  <c r="M176" i="1"/>
  <c r="L176" i="1"/>
  <c r="J176" i="1"/>
  <c r="R174" i="1"/>
  <c r="Q174" i="1"/>
  <c r="P174" i="1"/>
  <c r="O174" i="1"/>
  <c r="N174" i="1"/>
  <c r="M174" i="1"/>
  <c r="L174" i="1"/>
  <c r="J174" i="1"/>
  <c r="R173" i="1"/>
  <c r="Q173" i="1"/>
  <c r="P173" i="1"/>
  <c r="O173" i="1"/>
  <c r="N173" i="1"/>
  <c r="M173" i="1"/>
  <c r="L173" i="1"/>
  <c r="J173" i="1"/>
  <c r="R172" i="1"/>
  <c r="Q172" i="1"/>
  <c r="P172" i="1"/>
  <c r="O172" i="1"/>
  <c r="N172" i="1"/>
  <c r="M172" i="1"/>
  <c r="L172" i="1"/>
  <c r="J172" i="1"/>
  <c r="R169" i="1"/>
  <c r="Q169" i="1"/>
  <c r="P169" i="1"/>
  <c r="O169" i="1"/>
  <c r="N169" i="1"/>
  <c r="M169" i="1"/>
  <c r="L169" i="1"/>
  <c r="J169" i="1"/>
  <c r="R168" i="1"/>
  <c r="Q168" i="1"/>
  <c r="P168" i="1"/>
  <c r="O168" i="1"/>
  <c r="N168" i="1"/>
  <c r="M168" i="1"/>
  <c r="L168" i="1"/>
  <c r="J168" i="1"/>
  <c r="R167" i="1"/>
  <c r="Q167" i="1"/>
  <c r="P167" i="1"/>
  <c r="O167" i="1"/>
  <c r="N167" i="1"/>
  <c r="M167" i="1"/>
  <c r="L167" i="1"/>
  <c r="J167" i="1"/>
  <c r="R166" i="1"/>
  <c r="Q166" i="1"/>
  <c r="P166" i="1"/>
  <c r="O166" i="1"/>
  <c r="N166" i="1"/>
  <c r="M166" i="1"/>
  <c r="L166" i="1"/>
  <c r="L158" i="1" s="1"/>
  <c r="J166" i="1"/>
  <c r="J158" i="1" s="1"/>
  <c r="R164" i="1"/>
  <c r="Q164" i="1"/>
  <c r="P164" i="1"/>
  <c r="P162" i="1" s="1"/>
  <c r="P161" i="1" s="1"/>
  <c r="P160" i="1" s="1"/>
  <c r="P159" i="1" s="1"/>
  <c r="P158" i="1" s="1"/>
  <c r="O164" i="1"/>
  <c r="O162" i="1" s="1"/>
  <c r="O161" i="1" s="1"/>
  <c r="O160" i="1" s="1"/>
  <c r="O159" i="1" s="1"/>
  <c r="O158" i="1" s="1"/>
  <c r="N164" i="1"/>
  <c r="L164" i="1"/>
  <c r="J164" i="1"/>
  <c r="R162" i="1"/>
  <c r="R161" i="1" s="1"/>
  <c r="R160" i="1" s="1"/>
  <c r="R159" i="1" s="1"/>
  <c r="R158" i="1" s="1"/>
  <c r="Q162" i="1"/>
  <c r="N162" i="1"/>
  <c r="M162" i="1"/>
  <c r="L162" i="1"/>
  <c r="J162" i="1"/>
  <c r="Q161" i="1"/>
  <c r="N161" i="1"/>
  <c r="N160" i="1" s="1"/>
  <c r="N159" i="1" s="1"/>
  <c r="N158" i="1" s="1"/>
  <c r="M161" i="1"/>
  <c r="L161" i="1"/>
  <c r="J161" i="1"/>
  <c r="Q160" i="1"/>
  <c r="M160" i="1"/>
  <c r="L160" i="1"/>
  <c r="J160" i="1"/>
  <c r="Q159" i="1"/>
  <c r="M159" i="1"/>
  <c r="L159" i="1"/>
  <c r="J159" i="1"/>
  <c r="Q158" i="1"/>
  <c r="M158" i="1"/>
  <c r="R156" i="1"/>
  <c r="Q156" i="1"/>
  <c r="P156" i="1"/>
  <c r="O156" i="1"/>
  <c r="N156" i="1"/>
  <c r="M156" i="1"/>
  <c r="L156" i="1"/>
  <c r="J156" i="1"/>
  <c r="R153" i="1"/>
  <c r="Q153" i="1"/>
  <c r="P153" i="1"/>
  <c r="O153" i="1"/>
  <c r="N153" i="1"/>
  <c r="M153" i="1"/>
  <c r="L153" i="1"/>
  <c r="J153" i="1"/>
  <c r="R152" i="1"/>
  <c r="Q152" i="1"/>
  <c r="P152" i="1"/>
  <c r="O152" i="1"/>
  <c r="N152" i="1"/>
  <c r="M152" i="1"/>
  <c r="L152" i="1"/>
  <c r="J152" i="1"/>
  <c r="R151" i="1"/>
  <c r="Q151" i="1"/>
  <c r="P151" i="1"/>
  <c r="O151" i="1"/>
  <c r="N151" i="1"/>
  <c r="M151" i="1"/>
  <c r="L151" i="1"/>
  <c r="J151" i="1"/>
  <c r="R150" i="1"/>
  <c r="Q150" i="1"/>
  <c r="P150" i="1"/>
  <c r="O150" i="1"/>
  <c r="N150" i="1"/>
  <c r="M150" i="1"/>
  <c r="L150" i="1"/>
  <c r="J150" i="1"/>
  <c r="R148" i="1"/>
  <c r="Q148" i="1"/>
  <c r="P148" i="1"/>
  <c r="O148" i="1"/>
  <c r="N148" i="1"/>
  <c r="M148" i="1"/>
  <c r="L148" i="1"/>
  <c r="J148" i="1"/>
  <c r="R147" i="1"/>
  <c r="Q147" i="1"/>
  <c r="P147" i="1"/>
  <c r="O147" i="1"/>
  <c r="N147" i="1"/>
  <c r="M147" i="1"/>
  <c r="L147" i="1"/>
  <c r="J147" i="1"/>
  <c r="R146" i="1"/>
  <c r="Q146" i="1"/>
  <c r="P146" i="1"/>
  <c r="O146" i="1"/>
  <c r="N146" i="1"/>
  <c r="M146" i="1"/>
  <c r="L146" i="1"/>
  <c r="J146" i="1"/>
  <c r="R145" i="1"/>
  <c r="Q145" i="1"/>
  <c r="P145" i="1"/>
  <c r="O145" i="1"/>
  <c r="N145" i="1"/>
  <c r="M145" i="1"/>
  <c r="L145" i="1"/>
  <c r="J145" i="1"/>
  <c r="R144" i="1"/>
  <c r="R143" i="1" s="1"/>
  <c r="Q144" i="1"/>
  <c r="P144" i="1"/>
  <c r="O144" i="1"/>
  <c r="O143" i="1" s="1"/>
  <c r="O140" i="1" s="1"/>
  <c r="O136" i="1" s="1"/>
  <c r="O111" i="1" s="1"/>
  <c r="N144" i="1"/>
  <c r="N143" i="1" s="1"/>
  <c r="J144" i="1"/>
  <c r="Q143" i="1"/>
  <c r="P143" i="1"/>
  <c r="M143" i="1"/>
  <c r="L143" i="1"/>
  <c r="L140" i="1" s="1"/>
  <c r="L136" i="1" s="1"/>
  <c r="L111" i="1" s="1"/>
  <c r="J143" i="1"/>
  <c r="R142" i="1"/>
  <c r="Q142" i="1"/>
  <c r="Q141" i="1" s="1"/>
  <c r="Q140" i="1" s="1"/>
  <c r="Q136" i="1" s="1"/>
  <c r="Q111" i="1" s="1"/>
  <c r="P142" i="1"/>
  <c r="P141" i="1" s="1"/>
  <c r="O142" i="1"/>
  <c r="N142" i="1"/>
  <c r="J142" i="1"/>
  <c r="R141" i="1"/>
  <c r="O141" i="1"/>
  <c r="N141" i="1"/>
  <c r="N140" i="1" s="1"/>
  <c r="M141" i="1"/>
  <c r="L141" i="1"/>
  <c r="J141" i="1"/>
  <c r="R140" i="1"/>
  <c r="M140" i="1"/>
  <c r="J140" i="1"/>
  <c r="R138" i="1"/>
  <c r="Q138" i="1"/>
  <c r="P138" i="1"/>
  <c r="O138" i="1"/>
  <c r="N138" i="1"/>
  <c r="M138" i="1"/>
  <c r="L138" i="1"/>
  <c r="J138" i="1"/>
  <c r="R137" i="1"/>
  <c r="Q137" i="1"/>
  <c r="P137" i="1"/>
  <c r="O137" i="1"/>
  <c r="N137" i="1"/>
  <c r="M137" i="1"/>
  <c r="L137" i="1"/>
  <c r="J137" i="1"/>
  <c r="R136" i="1"/>
  <c r="M136" i="1"/>
  <c r="J136" i="1"/>
  <c r="R132" i="1"/>
  <c r="Q132" i="1"/>
  <c r="P132" i="1"/>
  <c r="O132" i="1"/>
  <c r="N132" i="1"/>
  <c r="M132" i="1"/>
  <c r="L132" i="1"/>
  <c r="J132" i="1"/>
  <c r="R131" i="1"/>
  <c r="Q131" i="1"/>
  <c r="P131" i="1"/>
  <c r="O131" i="1"/>
  <c r="N131" i="1"/>
  <c r="M131" i="1"/>
  <c r="L131" i="1"/>
  <c r="J131" i="1"/>
  <c r="R125" i="1"/>
  <c r="Q125" i="1"/>
  <c r="P125" i="1"/>
  <c r="O125" i="1"/>
  <c r="N125" i="1"/>
  <c r="M125" i="1"/>
  <c r="L125" i="1"/>
  <c r="J125" i="1"/>
  <c r="R124" i="1"/>
  <c r="Q124" i="1"/>
  <c r="P124" i="1"/>
  <c r="O124" i="1"/>
  <c r="N124" i="1"/>
  <c r="M124" i="1"/>
  <c r="L124" i="1"/>
  <c r="J124" i="1"/>
  <c r="R123" i="1"/>
  <c r="Q123" i="1"/>
  <c r="P123" i="1"/>
  <c r="O123" i="1"/>
  <c r="N123" i="1"/>
  <c r="M123" i="1"/>
  <c r="L123" i="1"/>
  <c r="J123" i="1"/>
  <c r="R121" i="1"/>
  <c r="Q121" i="1"/>
  <c r="P121" i="1"/>
  <c r="O121" i="1"/>
  <c r="N121" i="1"/>
  <c r="M121" i="1"/>
  <c r="L121" i="1"/>
  <c r="J121" i="1"/>
  <c r="R119" i="1"/>
  <c r="Q119" i="1"/>
  <c r="P119" i="1"/>
  <c r="O119" i="1"/>
  <c r="N119" i="1"/>
  <c r="M119" i="1"/>
  <c r="L119" i="1"/>
  <c r="J119" i="1"/>
  <c r="R118" i="1"/>
  <c r="Q118" i="1"/>
  <c r="P118" i="1"/>
  <c r="O118" i="1"/>
  <c r="N118" i="1"/>
  <c r="M118" i="1"/>
  <c r="L118" i="1"/>
  <c r="J118" i="1"/>
  <c r="R112" i="1"/>
  <c r="Q112" i="1"/>
  <c r="P112" i="1"/>
  <c r="O112" i="1"/>
  <c r="N112" i="1"/>
  <c r="M112" i="1"/>
  <c r="L112" i="1"/>
  <c r="J112" i="1"/>
  <c r="R111" i="1"/>
  <c r="M111" i="1"/>
  <c r="J111" i="1"/>
  <c r="R109" i="1"/>
  <c r="Q109" i="1"/>
  <c r="P109" i="1"/>
  <c r="O109" i="1"/>
  <c r="N109" i="1"/>
  <c r="M109" i="1"/>
  <c r="L109" i="1"/>
  <c r="J109" i="1"/>
  <c r="R107" i="1"/>
  <c r="Q107" i="1"/>
  <c r="P107" i="1"/>
  <c r="O107" i="1"/>
  <c r="N107" i="1"/>
  <c r="M107" i="1"/>
  <c r="L107" i="1"/>
  <c r="J107" i="1"/>
  <c r="R105" i="1"/>
  <c r="Q105" i="1"/>
  <c r="P105" i="1"/>
  <c r="O105" i="1"/>
  <c r="N105" i="1"/>
  <c r="M105" i="1"/>
  <c r="L105" i="1"/>
  <c r="J105" i="1"/>
  <c r="R104" i="1"/>
  <c r="Q104" i="1"/>
  <c r="P104" i="1"/>
  <c r="O104" i="1"/>
  <c r="N104" i="1"/>
  <c r="M104" i="1"/>
  <c r="L104" i="1"/>
  <c r="J104" i="1"/>
  <c r="R102" i="1"/>
  <c r="Q102" i="1"/>
  <c r="P102" i="1"/>
  <c r="O102" i="1"/>
  <c r="N102" i="1"/>
  <c r="M102" i="1"/>
  <c r="L102" i="1"/>
  <c r="J102" i="1"/>
  <c r="R100" i="1"/>
  <c r="Q100" i="1"/>
  <c r="P100" i="1"/>
  <c r="O100" i="1"/>
  <c r="N100" i="1"/>
  <c r="M100" i="1"/>
  <c r="L100" i="1"/>
  <c r="J100" i="1"/>
  <c r="R99" i="1"/>
  <c r="Q99" i="1"/>
  <c r="P99" i="1"/>
  <c r="O99" i="1"/>
  <c r="N99" i="1"/>
  <c r="M99" i="1"/>
  <c r="L99" i="1"/>
  <c r="J99" i="1"/>
  <c r="R97" i="1"/>
  <c r="Q97" i="1"/>
  <c r="P97" i="1"/>
  <c r="O97" i="1"/>
  <c r="N97" i="1"/>
  <c r="M97" i="1"/>
  <c r="L97" i="1"/>
  <c r="J97" i="1"/>
  <c r="R96" i="1"/>
  <c r="Q96" i="1"/>
  <c r="P96" i="1"/>
  <c r="O96" i="1"/>
  <c r="N96" i="1"/>
  <c r="M96" i="1"/>
  <c r="L96" i="1"/>
  <c r="J96" i="1"/>
  <c r="R94" i="1"/>
  <c r="R93" i="1" s="1"/>
  <c r="R92" i="1" s="1"/>
  <c r="R91" i="1" s="1"/>
  <c r="R90" i="1" s="1"/>
  <c r="R89" i="1" s="1"/>
  <c r="Q94" i="1"/>
  <c r="P94" i="1"/>
  <c r="P93" i="1" s="1"/>
  <c r="P92" i="1" s="1"/>
  <c r="P91" i="1" s="1"/>
  <c r="P90" i="1" s="1"/>
  <c r="P89" i="1" s="1"/>
  <c r="O94" i="1"/>
  <c r="N94" i="1"/>
  <c r="N93" i="1" s="1"/>
  <c r="N92" i="1" s="1"/>
  <c r="N91" i="1" s="1"/>
  <c r="N90" i="1" s="1"/>
  <c r="N89" i="1" s="1"/>
  <c r="L94" i="1"/>
  <c r="J94" i="1"/>
  <c r="Q93" i="1"/>
  <c r="O93" i="1"/>
  <c r="M93" i="1"/>
  <c r="M92" i="1" s="1"/>
  <c r="M91" i="1" s="1"/>
  <c r="M90" i="1" s="1"/>
  <c r="M89" i="1" s="1"/>
  <c r="L93" i="1"/>
  <c r="J93" i="1"/>
  <c r="Q92" i="1"/>
  <c r="Q91" i="1" s="1"/>
  <c r="Q90" i="1" s="1"/>
  <c r="Q89" i="1" s="1"/>
  <c r="O92" i="1"/>
  <c r="L92" i="1"/>
  <c r="J92" i="1"/>
  <c r="O91" i="1"/>
  <c r="L91" i="1"/>
  <c r="J91" i="1"/>
  <c r="O90" i="1"/>
  <c r="L90" i="1"/>
  <c r="J90" i="1"/>
  <c r="O89" i="1"/>
  <c r="L89" i="1"/>
  <c r="J89" i="1"/>
  <c r="R84" i="1"/>
  <c r="Q84" i="1"/>
  <c r="P84" i="1"/>
  <c r="O84" i="1"/>
  <c r="N84" i="1"/>
  <c r="M84" i="1"/>
  <c r="L84" i="1"/>
  <c r="J84" i="1"/>
  <c r="R83" i="1"/>
  <c r="Q83" i="1"/>
  <c r="P83" i="1"/>
  <c r="O83" i="1"/>
  <c r="N83" i="1"/>
  <c r="M83" i="1"/>
  <c r="L83" i="1"/>
  <c r="J83" i="1"/>
  <c r="R81" i="1"/>
  <c r="Q81" i="1"/>
  <c r="P81" i="1"/>
  <c r="O81" i="1"/>
  <c r="N81" i="1"/>
  <c r="M81" i="1"/>
  <c r="L81" i="1"/>
  <c r="J81" i="1"/>
  <c r="R79" i="1"/>
  <c r="Q79" i="1"/>
  <c r="P79" i="1"/>
  <c r="O79" i="1"/>
  <c r="N79" i="1"/>
  <c r="M79" i="1"/>
  <c r="L79" i="1"/>
  <c r="J79" i="1"/>
  <c r="R78" i="1"/>
  <c r="Q78" i="1"/>
  <c r="P78" i="1"/>
  <c r="O78" i="1"/>
  <c r="N78" i="1"/>
  <c r="M78" i="1"/>
  <c r="L78" i="1"/>
  <c r="J78" i="1"/>
  <c r="R77" i="1"/>
  <c r="Q77" i="1"/>
  <c r="P77" i="1"/>
  <c r="O77" i="1"/>
  <c r="N77" i="1"/>
  <c r="M77" i="1"/>
  <c r="L77" i="1"/>
  <c r="J77" i="1"/>
  <c r="R76" i="1"/>
  <c r="Q76" i="1"/>
  <c r="P76" i="1"/>
  <c r="O76" i="1"/>
  <c r="N76" i="1"/>
  <c r="M76" i="1"/>
  <c r="L76" i="1"/>
  <c r="J76" i="1"/>
  <c r="R75" i="1"/>
  <c r="Q75" i="1"/>
  <c r="P75" i="1"/>
  <c r="O75" i="1"/>
  <c r="N75" i="1"/>
  <c r="M75" i="1"/>
  <c r="L75" i="1"/>
  <c r="J75" i="1"/>
  <c r="R72" i="1"/>
  <c r="Q72" i="1"/>
  <c r="P72" i="1"/>
  <c r="O72" i="1"/>
  <c r="N72" i="1"/>
  <c r="M72" i="1"/>
  <c r="L72" i="1"/>
  <c r="J72" i="1"/>
  <c r="R71" i="1"/>
  <c r="Q71" i="1"/>
  <c r="P71" i="1"/>
  <c r="O71" i="1"/>
  <c r="N71" i="1"/>
  <c r="M71" i="1"/>
  <c r="L71" i="1"/>
  <c r="J71" i="1"/>
  <c r="R70" i="1"/>
  <c r="Q70" i="1"/>
  <c r="P70" i="1"/>
  <c r="O70" i="1"/>
  <c r="N70" i="1"/>
  <c r="M70" i="1"/>
  <c r="L70" i="1"/>
  <c r="J70" i="1"/>
  <c r="R67" i="1"/>
  <c r="Q67" i="1"/>
  <c r="P67" i="1"/>
  <c r="O67" i="1"/>
  <c r="N67" i="1"/>
  <c r="M67" i="1"/>
  <c r="L67" i="1"/>
  <c r="J67" i="1"/>
  <c r="R66" i="1"/>
  <c r="Q66" i="1"/>
  <c r="P66" i="1"/>
  <c r="O66" i="1"/>
  <c r="N66" i="1"/>
  <c r="M66" i="1"/>
  <c r="L66" i="1"/>
  <c r="J66" i="1"/>
  <c r="R65" i="1"/>
  <c r="Q65" i="1"/>
  <c r="P65" i="1"/>
  <c r="O65" i="1"/>
  <c r="N65" i="1"/>
  <c r="M65" i="1"/>
  <c r="L65" i="1"/>
  <c r="J65" i="1"/>
  <c r="R63" i="1"/>
  <c r="Q63" i="1"/>
  <c r="P63" i="1"/>
  <c r="O63" i="1"/>
  <c r="N63" i="1"/>
  <c r="M63" i="1"/>
  <c r="L63" i="1"/>
  <c r="J63" i="1"/>
  <c r="R62" i="1"/>
  <c r="Q62" i="1"/>
  <c r="P62" i="1"/>
  <c r="O62" i="1"/>
  <c r="N62" i="1"/>
  <c r="M62" i="1"/>
  <c r="L62" i="1"/>
  <c r="J62" i="1"/>
  <c r="R61" i="1"/>
  <c r="Q61" i="1"/>
  <c r="P61" i="1"/>
  <c r="O61" i="1"/>
  <c r="N61" i="1"/>
  <c r="M61" i="1"/>
  <c r="L61" i="1"/>
  <c r="J61" i="1"/>
  <c r="R56" i="1"/>
  <c r="Q56" i="1"/>
  <c r="P56" i="1"/>
  <c r="O56" i="1"/>
  <c r="N56" i="1"/>
  <c r="M56" i="1"/>
  <c r="L56" i="1"/>
  <c r="J56" i="1"/>
  <c r="R55" i="1"/>
  <c r="Q55" i="1"/>
  <c r="P55" i="1"/>
  <c r="O55" i="1"/>
  <c r="N55" i="1"/>
  <c r="M55" i="1"/>
  <c r="L55" i="1"/>
  <c r="J55" i="1"/>
  <c r="R54" i="1"/>
  <c r="Q54" i="1"/>
  <c r="P54" i="1"/>
  <c r="O54" i="1"/>
  <c r="N54" i="1"/>
  <c r="M54" i="1"/>
  <c r="L54" i="1"/>
  <c r="J54" i="1"/>
  <c r="R52" i="1"/>
  <c r="Q52" i="1"/>
  <c r="P52" i="1"/>
  <c r="O52" i="1"/>
  <c r="N52" i="1"/>
  <c r="M52" i="1"/>
  <c r="L52" i="1"/>
  <c r="J52" i="1"/>
  <c r="R51" i="1"/>
  <c r="Q51" i="1"/>
  <c r="P51" i="1"/>
  <c r="O51" i="1"/>
  <c r="N51" i="1"/>
  <c r="M51" i="1"/>
  <c r="L51" i="1"/>
  <c r="J51" i="1"/>
  <c r="R48" i="1"/>
  <c r="Q48" i="1"/>
  <c r="P48" i="1"/>
  <c r="O48" i="1"/>
  <c r="N48" i="1"/>
  <c r="M48" i="1"/>
  <c r="L48" i="1"/>
  <c r="J48" i="1"/>
  <c r="R45" i="1"/>
  <c r="Q45" i="1"/>
  <c r="P45" i="1"/>
  <c r="O45" i="1"/>
  <c r="N45" i="1"/>
  <c r="M45" i="1"/>
  <c r="L45" i="1"/>
  <c r="J45" i="1"/>
  <c r="R43" i="1"/>
  <c r="Q43" i="1"/>
  <c r="Q37" i="1" s="1"/>
  <c r="Q36" i="1" s="1"/>
  <c r="Q27" i="1" s="1"/>
  <c r="P43" i="1"/>
  <c r="O43" i="1"/>
  <c r="N43" i="1"/>
  <c r="M43" i="1"/>
  <c r="L43" i="1"/>
  <c r="J43" i="1"/>
  <c r="L42" i="1"/>
  <c r="R41" i="1"/>
  <c r="Q41" i="1"/>
  <c r="P41" i="1"/>
  <c r="O41" i="1"/>
  <c r="N41" i="1"/>
  <c r="J41" i="1"/>
  <c r="L40" i="1"/>
  <c r="M40" i="1" s="1"/>
  <c r="L39" i="1"/>
  <c r="R38" i="1"/>
  <c r="Q38" i="1"/>
  <c r="P38" i="1"/>
  <c r="O38" i="1"/>
  <c r="O37" i="1" s="1"/>
  <c r="O36" i="1" s="1"/>
  <c r="N38" i="1"/>
  <c r="J38" i="1"/>
  <c r="J37" i="1" s="1"/>
  <c r="J36" i="1" s="1"/>
  <c r="R37" i="1"/>
  <c r="P37" i="1"/>
  <c r="N37" i="1"/>
  <c r="R36" i="1"/>
  <c r="P36" i="1"/>
  <c r="N36" i="1"/>
  <c r="L35" i="1"/>
  <c r="M35" i="1" s="1"/>
  <c r="L34" i="1"/>
  <c r="R33" i="1"/>
  <c r="Q33" i="1"/>
  <c r="P33" i="1"/>
  <c r="O33" i="1"/>
  <c r="N33" i="1"/>
  <c r="J33" i="1"/>
  <c r="J32" i="1" s="1"/>
  <c r="J31" i="1" s="1"/>
  <c r="R32" i="1"/>
  <c r="Q32" i="1"/>
  <c r="P32" i="1"/>
  <c r="O32" i="1"/>
  <c r="O31" i="1" s="1"/>
  <c r="O27" i="1" s="1"/>
  <c r="O26" i="1" s="1"/>
  <c r="O17" i="1" s="1"/>
  <c r="N32" i="1"/>
  <c r="R31" i="1"/>
  <c r="Q31" i="1"/>
  <c r="P31" i="1"/>
  <c r="N31" i="1"/>
  <c r="R27" i="1"/>
  <c r="P27" i="1"/>
  <c r="N27" i="1"/>
  <c r="Q5" i="1"/>
  <c r="R26" i="1" l="1"/>
  <c r="R17" i="1" s="1"/>
  <c r="J179" i="1"/>
  <c r="J180" i="1"/>
  <c r="N136" i="1"/>
  <c r="N111" i="1" s="1"/>
  <c r="N26" i="1" s="1"/>
  <c r="N17" i="1" s="1"/>
  <c r="J27" i="1"/>
  <c r="J26" i="1" s="1"/>
  <c r="J17" i="1" s="1"/>
  <c r="P196" i="1"/>
  <c r="P195" i="1" s="1"/>
  <c r="M39" i="1"/>
  <c r="M38" i="1" s="1"/>
  <c r="L38" i="1"/>
  <c r="Q180" i="1"/>
  <c r="Q179" i="1"/>
  <c r="Q26" i="1" s="1"/>
  <c r="Q17" i="1" s="1"/>
  <c r="O234" i="1"/>
  <c r="R197" i="1"/>
  <c r="N377" i="1"/>
  <c r="N378" i="1"/>
  <c r="M42" i="1"/>
  <c r="M41" i="1" s="1"/>
  <c r="L41" i="1"/>
  <c r="N207" i="1"/>
  <c r="N208" i="1"/>
  <c r="N206" i="1" s="1"/>
  <c r="N205" i="1" s="1"/>
  <c r="N197" i="1" s="1"/>
  <c r="N196" i="1" s="1"/>
  <c r="N195" i="1" s="1"/>
  <c r="M34" i="1"/>
  <c r="M33" i="1" s="1"/>
  <c r="M32" i="1" s="1"/>
  <c r="M31" i="1" s="1"/>
  <c r="L33" i="1"/>
  <c r="L32" i="1" s="1"/>
  <c r="L31" i="1" s="1"/>
  <c r="P140" i="1"/>
  <c r="P136" i="1" s="1"/>
  <c r="P111" i="1" s="1"/>
  <c r="P26" i="1" s="1"/>
  <c r="P17" i="1" s="1"/>
  <c r="O197" i="1"/>
  <c r="N225" i="1"/>
  <c r="N222" i="1" s="1"/>
  <c r="N221" i="1" s="1"/>
  <c r="Q225" i="1"/>
  <c r="Q222" i="1" s="1"/>
  <c r="Q221" i="1" s="1"/>
  <c r="Q196" i="1" s="1"/>
  <c r="Q195" i="1" s="1"/>
  <c r="M196" i="1"/>
  <c r="M195" i="1" s="1"/>
  <c r="J234" i="1"/>
  <c r="J233" i="1"/>
  <c r="L241" i="1"/>
  <c r="L235" i="1"/>
  <c r="L233" i="1" s="1"/>
  <c r="P247" i="1"/>
  <c r="R253" i="1"/>
  <c r="R252" i="1" s="1"/>
  <c r="R196" i="1"/>
  <c r="R195" i="1" s="1"/>
  <c r="P180" i="1"/>
  <c r="P179" i="1"/>
  <c r="O246" i="1"/>
  <c r="O242" i="1" s="1"/>
  <c r="O247" i="1"/>
  <c r="N252" i="1"/>
  <c r="N385" i="1"/>
  <c r="N384" i="1" s="1"/>
  <c r="P384" i="1"/>
  <c r="P391" i="1"/>
  <c r="R347" i="1"/>
  <c r="O384" i="1"/>
  <c r="O391" i="1"/>
  <c r="Q385" i="1"/>
  <c r="Q384" i="1" s="1"/>
  <c r="J385" i="1"/>
  <c r="N412" i="1"/>
  <c r="O221" i="1" l="1"/>
  <c r="O196" i="1" s="1"/>
  <c r="O195" i="1" s="1"/>
  <c r="L221" i="1"/>
  <c r="L196" i="1" s="1"/>
  <c r="L195" i="1" s="1"/>
  <c r="L232" i="1"/>
  <c r="M37" i="1"/>
  <c r="M36" i="1" s="1"/>
  <c r="M27" i="1" s="1"/>
  <c r="M26" i="1" s="1"/>
  <c r="M18" i="1" s="1"/>
  <c r="J391" i="1"/>
  <c r="J384" i="1"/>
  <c r="J232" i="1"/>
  <c r="J221" i="1"/>
  <c r="J196" i="1" s="1"/>
  <c r="J195" i="1" s="1"/>
  <c r="L37" i="1"/>
  <c r="L36" i="1" s="1"/>
  <c r="L27" i="1" s="1"/>
  <c r="L26" i="1" s="1"/>
  <c r="L18" i="1" s="1"/>
</calcChain>
</file>

<file path=xl/sharedStrings.xml><?xml version="1.0" encoding="utf-8"?>
<sst xmlns="http://schemas.openxmlformats.org/spreadsheetml/2006/main" count="2307" uniqueCount="572">
  <si>
    <t>Приложение  № 3</t>
  </si>
  <si>
    <t xml:space="preserve">к   решению совета депутатов </t>
  </si>
  <si>
    <t>МО Тельмановское сельское поселение</t>
  </si>
  <si>
    <t>Тосненского района  Ленинградской области</t>
  </si>
  <si>
    <t>Приложение  № 5</t>
  </si>
  <si>
    <t xml:space="preserve">    от  "  "  декабря 2015  №     </t>
  </si>
  <si>
    <t xml:space="preserve">    от  "26" декабря  2019 года № 90 </t>
  </si>
  <si>
    <t>Глава муниципального образования</t>
  </si>
  <si>
    <t>___________________ Г.В.Сакулин</t>
  </si>
  <si>
    <t>д.б.</t>
  </si>
  <si>
    <t xml:space="preserve"> =</t>
  </si>
  <si>
    <t>усл расх</t>
  </si>
  <si>
    <t xml:space="preserve">РАСПРЕДЕЛЕНИЕ </t>
  </si>
  <si>
    <t>бюджетных ассигнований по целевым статьям</t>
  </si>
  <si>
    <t>(муниципальным программам  и непрограммным направлениям деятельности),</t>
  </si>
  <si>
    <t xml:space="preserve"> группам и подгруппам видов расходов классификации расходов бюджетов, а также по разделам и подразделам </t>
  </si>
  <si>
    <t>классификации расходов бюджетов  на 2019 год и на плановый период 2020 и 2021 годов</t>
  </si>
  <si>
    <t>(тысяч рублей)</t>
  </si>
  <si>
    <t>(тыс. руб.)</t>
  </si>
  <si>
    <t>Наименование</t>
  </si>
  <si>
    <t>Г
код главного распорядителя</t>
  </si>
  <si>
    <t>Рз             раздел</t>
  </si>
  <si>
    <t>ПР подраздел</t>
  </si>
  <si>
    <t>ЦСР                 целевая статья</t>
  </si>
  <si>
    <t>ВР                 вид расхода</t>
  </si>
  <si>
    <t>Рз ПР</t>
  </si>
  <si>
    <t>Сумма</t>
  </si>
  <si>
    <t>2015 год
(тысяч рублей)</t>
  </si>
  <si>
    <t>2016 год
(тысяч рублей)</t>
  </si>
  <si>
    <t>Итого</t>
  </si>
  <si>
    <t/>
  </si>
  <si>
    <t>Общегосударственные вопросы</t>
  </si>
  <si>
    <t>008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</si>
  <si>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</si>
  <si>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</si>
  <si>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</si>
  <si>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</si>
  <si>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</si>
  <si>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</si>
  <si>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</si>
  <si>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функций органов местного самоуправления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</si>
  <si>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</si>
  <si>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</si>
  <si>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</si>
  <si>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</si>
  <si>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</si>
  <si>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</si>
  <si>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</si>
  <si>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Субсидия на решение вопросов местного значения межмуниципального характера в сфере архивного дела(местный бюджет)</t>
  </si>
  <si>
    <t>9105065</t>
  </si>
  <si>
    <t>Субсидии</t>
  </si>
  <si>
    <t>520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</si>
  <si>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</si>
  <si>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9106060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</si>
  <si>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</si>
  <si>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9106061</t>
  </si>
  <si>
    <t>Иные межбюджетные трансферты</t>
  </si>
  <si>
    <t>540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</si>
  <si>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</si>
  <si>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</si>
  <si>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</si>
  <si>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</si>
  <si>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</si>
  <si>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</si>
  <si>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</si>
  <si>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</si>
  <si>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</si>
  <si>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</si>
  <si>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9100000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</si>
  <si>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</si>
  <si>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9106064</t>
  </si>
  <si>
    <t>Обеспечение проведения выборов и референдумов</t>
  </si>
  <si>
    <t>0107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</si>
  <si>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</si>
  <si>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9900000</t>
  </si>
  <si>
    <t>Проведение выборов в представительные органы муниципального образования</t>
  </si>
  <si>
    <t>9901204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</si>
  <si>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</si>
  <si>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</si>
  <si>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</si>
  <si>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9901005</t>
  </si>
  <si>
    <t>Резервные средства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</si>
  <si>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</si>
  <si>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</si>
  <si>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</si>
  <si>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9200000</t>
  </si>
  <si>
    <t>Выполнение других обязательств мунципальных образований</t>
  </si>
  <si>
    <t>9200003</t>
  </si>
  <si>
    <t>Уплата налогов, сборов и иных платежей</t>
  </si>
  <si>
    <t>850</t>
  </si>
  <si>
    <t>Национальная безопасность</t>
  </si>
  <si>
    <t>0200</t>
  </si>
  <si>
    <t>Мобилизационная  и вневосковая подготовка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</si>
  <si>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</si>
  <si>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</si>
  <si>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</si>
  <si>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</si>
  <si>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</si>
  <si>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</si>
  <si>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</si>
  <si>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</si>
  <si>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0800000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</si>
  <si>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</si>
  <si>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0810000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</si>
  <si>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</si>
  <si>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0811157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</si>
  <si>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</si>
  <si>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0811162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</si>
  <si>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</si>
  <si>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0820000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</si>
  <si>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</si>
  <si>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0821152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</si>
  <si>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</si>
  <si>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</si>
  <si>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</si>
  <si>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</si>
  <si>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</si>
  <si>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</si>
  <si>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</si>
  <si>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</si>
  <si>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</si>
  <si>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</si>
  <si>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</si>
  <si>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</si>
  <si>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</si>
  <si>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1010000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</si>
  <si>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</si>
  <si>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</si>
  <si>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</si>
  <si>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</si>
  <si>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</si>
  <si>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1020000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</si>
  <si>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</si>
  <si>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1021010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</si>
  <si>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</si>
  <si>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</si>
  <si>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</si>
  <si>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0500000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</si>
  <si>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</si>
  <si>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0500637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</si>
  <si>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</si>
  <si>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0501055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</si>
  <si>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</si>
  <si>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</si>
  <si>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</si>
  <si>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</si>
  <si>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Мероприятия в области строительства, архитектуры и градостроительства</t>
  </si>
  <si>
    <t>9901038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</si>
  <si>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</si>
  <si>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</si>
  <si>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</si>
  <si>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</si>
  <si>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</si>
  <si>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0600000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</si>
  <si>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</si>
  <si>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0610000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</si>
  <si>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</si>
  <si>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0610477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</si>
  <si>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</si>
  <si>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</si>
  <si>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</si>
  <si>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0620480</t>
  </si>
  <si>
    <t>Мероприятие  по капитальному ремонту муниципального жилищного фонда</t>
  </si>
  <si>
    <t>9901376</t>
  </si>
  <si>
    <t>Мероприятия в области жилищного хозяйства</t>
  </si>
  <si>
    <t>9901377</t>
  </si>
  <si>
    <t>Бюджетные инвестиции на приобретение объектов недвижимого имущества</t>
  </si>
  <si>
    <t>440</t>
  </si>
  <si>
    <t>Коммунальное  хозяйство</t>
  </si>
  <si>
    <t>0502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</si>
  <si>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</si>
  <si>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</si>
  <si>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</si>
  <si>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</si>
  <si>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</si>
  <si>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</si>
  <si>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</si>
  <si>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</si>
  <si>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</si>
  <si>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</si>
  <si>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</si>
  <si>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</si>
  <si>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</si>
  <si>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</si>
  <si>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</si>
  <si>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</si>
  <si>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</si>
  <si>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</si>
  <si>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</si>
  <si>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</si>
  <si>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</si>
  <si>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</si>
  <si>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t>Благоустройство</t>
  </si>
  <si>
    <t>0503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</si>
  <si>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</si>
  <si>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</si>
  <si>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</si>
  <si>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1401318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</si>
  <si>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</si>
  <si>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1200000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</si>
  <si>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</si>
  <si>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1201327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</si>
  <si>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</si>
  <si>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</si>
  <si>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</si>
  <si>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</si>
  <si>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</si>
  <si>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</si>
  <si>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Расходы на обеспечение деятельности муниципальных казенных учреждений</t>
  </si>
  <si>
    <t>9500016</t>
  </si>
  <si>
    <t>Образование</t>
  </si>
  <si>
    <t>0700</t>
  </si>
  <si>
    <t>Молодежная политика и оздоровление детей</t>
  </si>
  <si>
    <t>0707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</si>
  <si>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</si>
  <si>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0700000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</si>
  <si>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</si>
  <si>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</si>
  <si>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</si>
  <si>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0711229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</si>
  <si>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</si>
  <si>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0711168</t>
  </si>
  <si>
    <t>Культура, кинематография</t>
  </si>
  <si>
    <t>0800</t>
  </si>
  <si>
    <t>Культура</t>
  </si>
  <si>
    <t>0801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</si>
  <si>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</si>
  <si>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0720000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</si>
  <si>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</si>
  <si>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0720016</t>
  </si>
  <si>
    <t>Расходы на выплаты персоналу казенных учреждений</t>
  </si>
  <si>
    <t>110</t>
  </si>
  <si>
    <t>Другие вопросы в области культуры, кинематографии</t>
  </si>
  <si>
    <t>0804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</si>
  <si>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</si>
  <si>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0730000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</si>
  <si>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</si>
  <si>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</si>
  <si>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</si>
  <si>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</si>
  <si>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</si>
  <si>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</si>
  <si>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</si>
  <si>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</si>
  <si>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</si>
  <si>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</si>
  <si>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</si>
  <si>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</si>
  <si>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</si>
  <si>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в области социальной политики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</si>
  <si>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</si>
  <si>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</si>
  <si>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</si>
  <si>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</si>
  <si>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</si>
  <si>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0400000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</si>
  <si>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</si>
  <si>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0410000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</si>
  <si>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</si>
  <si>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>0410016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</si>
  <si>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</si>
  <si>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0420000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</si>
  <si>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</si>
  <si>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</si>
  <si>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</si>
  <si>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</si>
  <si>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</si>
  <si>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0430000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</si>
  <si>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</si>
  <si>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0431130</t>
  </si>
  <si>
    <t>Рз 
раздел</t>
  </si>
  <si>
    <t xml:space="preserve">ПР    подраздел          </t>
  </si>
  <si>
    <t>2019 год</t>
  </si>
  <si>
    <t>2016 год</t>
  </si>
  <si>
    <t>2017 год</t>
  </si>
  <si>
    <t>2020 год</t>
  </si>
  <si>
    <t>2021 год</t>
  </si>
  <si>
    <t>Всего</t>
  </si>
  <si>
    <t>Итого программные расходы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</si>
  <si>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области" </t>
  </si>
  <si>
    <t>04 0 00 00000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</si>
  <si>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</si>
  <si>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</si>
  <si>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Иные закупки товаров, работ и услуг для обеспечения государственных (муниципальных) нужд</t>
  </si>
  <si>
    <t>11</t>
  </si>
  <si>
    <t>05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</si>
  <si>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</si>
  <si>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</si>
  <si>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</si>
  <si>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</si>
  <si>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</si>
  <si>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</si>
  <si>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</si>
  <si>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</si>
  <si>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</si>
  <si>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05 0 02 00000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</si>
  <si>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</si>
  <si>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05 0 02 10550</t>
  </si>
  <si>
    <t>04</t>
  </si>
  <si>
    <t>12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</si>
  <si>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 xml:space="preserve">" </t>
    </r>
  </si>
  <si>
    <t>07 0 00 00000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</si>
  <si>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области" </t>
  </si>
  <si>
    <t>07 1 00 00000</t>
  </si>
  <si>
    <t>Основное мероприятие "Обеспечение отдыха, оздоровления, занятости детей, подростков и молодежи"</t>
  </si>
  <si>
    <t>07 1 01 00000</t>
  </si>
  <si>
    <t>Мероприятия в сфере молодежной политики</t>
  </si>
  <si>
    <t>07 1 01 11680</t>
  </si>
  <si>
    <t>Молодежная политика</t>
  </si>
  <si>
    <t>07</t>
  </si>
  <si>
    <t xml:space="preserve">Организация  оздоровления, отдыха изанятости детей, подростков и молодежи </t>
  </si>
  <si>
    <t>07 1 01 12290</t>
  </si>
  <si>
    <r>
  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</si>
  <si>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</t>
  </si>
  <si>
    <t>07 2 00 00000</t>
  </si>
  <si>
    <t>Основное мероприятия "Развитие культуры на территории поселения"</t>
  </si>
  <si>
    <t>07 2 01 00000</t>
  </si>
  <si>
    <t xml:space="preserve">Расходы на обеспечение деятельности муниципальных казенных учреждений </t>
  </si>
  <si>
    <t>07 2 01 00160</t>
  </si>
  <si>
    <t>08</t>
  </si>
  <si>
    <t>01</t>
  </si>
  <si>
    <t>Обеспечение выплат стимулирующего характера работникам учреждений культуры</t>
  </si>
  <si>
    <t>07 2 01 S0360</t>
  </si>
  <si>
    <t>072 01 S0360</t>
  </si>
  <si>
    <t xml:space="preserve">Подпрограмма «Обеспечение условий реализации муниципальной программы» </t>
  </si>
  <si>
    <t>07 3 00 00000</t>
  </si>
  <si>
    <t>Основное мероприятие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</si>
  <si>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</si>
  <si>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</si>
  <si>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</si>
  <si>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области"</t>
  </si>
  <si>
    <t>08 0 00 00000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</si>
  <si>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</si>
  <si>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</si>
  <si>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</si>
  <si>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</si>
  <si>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</si>
  <si>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</si>
  <si>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09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</si>
  <si>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</si>
  <si>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03</t>
  </si>
  <si>
    <t xml:space="preserve">Основное мероприятия "Обеспечения пожарной безопасности" </t>
  </si>
  <si>
    <t>08 1 02 00000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</si>
  <si>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</si>
  <si>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08 1 02 11620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</si>
  <si>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</si>
  <si>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</si>
  <si>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</si>
  <si>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08 2 01 00000</t>
  </si>
  <si>
    <t>Мероприятия, направленные на обеспечение правопорядка</t>
  </si>
  <si>
    <t>08 2 01 11520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</si>
  <si>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</si>
  <si>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</si>
  <si>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</si>
  <si>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</si>
  <si>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</si>
  <si>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10 1 01 00000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</si>
  <si>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</si>
  <si>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10 1 01 10100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</si>
  <si>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</si>
  <si>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S0140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</si>
  <si>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</si>
  <si>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</si>
  <si>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</si>
  <si>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10 1 01 70140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</si>
  <si>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</si>
  <si>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t>10 2 00 00000</t>
  </si>
  <si>
    <t>Основное мероприятие "Мероприяти по оптимизации мер профилактики правонарушений"</t>
  </si>
  <si>
    <t>10 2 01 00000</t>
  </si>
  <si>
    <t>10 2 01 10100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</si>
  <si>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</si>
  <si>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</si>
  <si>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области"</t>
  </si>
  <si>
    <t>11 0 00 00000</t>
  </si>
  <si>
    <t>Основное мероприятие "Организация газоснабжения"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</si>
  <si>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</si>
  <si>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</si>
  <si>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11 0 01 04200</t>
  </si>
  <si>
    <t xml:space="preserve">Бюджетные инвестиции </t>
  </si>
  <si>
    <t>410</t>
  </si>
  <si>
    <t>02</t>
  </si>
  <si>
    <t>11 0 01 S0200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</si>
  <si>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>"</t>
    </r>
  </si>
  <si>
    <t>12 0 00 00000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</si>
  <si>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</si>
  <si>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</si>
  <si>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</si>
  <si>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</si>
  <si>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</si>
  <si>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12 0 01 13280</t>
  </si>
  <si>
    <t>Субсидии юридическим лицам (кроме некоммерческих организаций), индивидуальным предпринимателям, физическим лицам – производителям товаров, работ, услуг</t>
  </si>
  <si>
    <t>810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</si>
  <si>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"</t>
  </si>
  <si>
    <t>13 0 00 00000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</si>
  <si>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</si>
  <si>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13 0 01 00000</t>
  </si>
  <si>
    <t>13 0 01 10630</t>
  </si>
  <si>
    <t>иные закупки товаров, работ и услуг для обеспечения государственных (муниципальных) нужд</t>
  </si>
  <si>
    <t>бюджетные инвестиции</t>
  </si>
  <si>
    <t>Основное мероприятие "Реализация мероприятий по обеспечнию устойчивого функционирования объектов теплоснабжения"</t>
  </si>
  <si>
    <t>13 0 02 00000</t>
  </si>
  <si>
    <t>Мероприятия по обеспечнию устойчивого функционирования объектов теплоснабжения пос.Тельмана</t>
  </si>
  <si>
    <t>13 0 02 S0160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</si>
  <si>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</si>
  <si>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Муниципальная программа "Обеспечение качественным жильем граждан на территории муниципального образования Тельмановское сельское поселение  Тосненского района Ленинградской области " </t>
  </si>
  <si>
    <t>15 0 00 00000</t>
  </si>
  <si>
    <t>Подпрограмма "Жилье для молодежи"</t>
  </si>
  <si>
    <t>15 1 00 00000</t>
  </si>
  <si>
    <t>Основное мероприятие "Улучшение жилищных условий молодых граждан (молодых семей)"</t>
  </si>
  <si>
    <t>15 1 01 00000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</si>
  <si>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</si>
  <si>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15 1 01 S0750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</si>
  <si>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</si>
  <si>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</si>
  <si>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</si>
  <si>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</si>
  <si>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</si>
  <si>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</si>
  <si>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15 2 00 00000</t>
  </si>
  <si>
    <t>15 2 01 00000</t>
  </si>
  <si>
    <t>15 2 01 S0740</t>
  </si>
  <si>
    <t>Муниципальная программа «Реализация инициативных предложений  населения сельских населенных пунктов муниципального образования Тельмановское сельское поселение Тосненского района Ленинградской области на 2019-2024 годы»</t>
  </si>
  <si>
    <t>29 0 00 00000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</si>
  <si>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</si>
  <si>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>29 0 01 00000</t>
  </si>
  <si>
    <t>Повышение  уровня благоустройства и безопасности проживания на части  территории муниципального образования Тельмановское сельское поселение Тосненского района Ленинградской области</t>
  </si>
  <si>
    <t>29 0 01 S4660</t>
  </si>
  <si>
    <t>Закупка товаров,  работ и услуг для обеспечения государственных (муниципальных) нужд</t>
  </si>
  <si>
    <t>200</t>
  </si>
  <si>
    <t>Муниципальная программа "Формирование комфортной среды на территории муниципального образования Тельмановское сельское поселение Тосненского района Ленинградской области на 2019-2021 годы"</t>
  </si>
  <si>
    <t>27 0 00 00000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</si>
  <si>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</si>
  <si>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</si>
  <si>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Обеспечение мероприятий по формированию современной городской среды муниципального образования Тельмановское сельское поселение Тосненского района Ленинградской области</t>
  </si>
  <si>
    <t>27 0 01 L5550</t>
  </si>
  <si>
    <t>Федеральный проект "Формирование комфортной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</si>
  <si>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</si>
  <si>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</si>
  <si>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</si>
  <si>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</si>
  <si>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14 0 00 00000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</si>
  <si>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</si>
  <si>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14 0 01 00000</t>
  </si>
  <si>
    <t xml:space="preserve">Мероприятия по повышению надежности и энергетической эффективности </t>
  </si>
  <si>
    <t>14 0 01 13180</t>
  </si>
  <si>
    <t>Основное мероприятие "Поддержка проектов местных инциатив граждан"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</si>
  <si>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</si>
  <si>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>29 0 01 S4770</t>
  </si>
  <si>
    <t>Муниципальная программа «Грантовая плддержка местных инициатив граждан, проживающих в сельской местности на 2019-2024 годы»</t>
  </si>
  <si>
    <t>30 0 00 00000</t>
  </si>
  <si>
    <t>Подпрограмма "Благоустройство  внутридворовой территории муниципального образования Тельмановское сельское поселение Тосненского района Ленинградской области"</t>
  </si>
  <si>
    <t>30 1 00 00000</t>
  </si>
  <si>
    <t>Основное мероприятие "Повышение уровня благоустройства и безопасности проживания на части территории муниципального образования Тельмановское сельское поселение Тосненского района Ленинградской области"</t>
  </si>
  <si>
    <t>30 1 01 00000</t>
  </si>
  <si>
    <t>Благоустройство спортивной и детской площадки внутридворовой территории муниципального образования Тельмановское сельское поселение Тосненского района Ленинградской области</t>
  </si>
  <si>
    <t>30 1 01 S5670</t>
  </si>
  <si>
    <t>Итого непрограммные расходы</t>
  </si>
  <si>
    <t>91 0 00 00000</t>
  </si>
  <si>
    <t>Обеспечение деятельности органов местного самоуправления муниципального образования Тельмановское сельское поселение  Тосненского района Ленинградской области</t>
  </si>
  <si>
    <t>91 1 00 00000</t>
  </si>
  <si>
    <t xml:space="preserve">Непрограммные расходы </t>
  </si>
  <si>
    <t>91 1 01 00000</t>
  </si>
  <si>
    <t>Обеспечение деятельности Главы муниципального образования Тельмановское сельское поселение</t>
  </si>
  <si>
    <t>91 1 01 00030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</si>
  <si>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</si>
  <si>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РФ и муниципального образования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</si>
  <si>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</si>
  <si>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</si>
  <si>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</si>
  <si>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</si>
  <si>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91 3 01 00040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</si>
  <si>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</si>
  <si>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</si>
  <si>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91 5 01 00120</t>
  </si>
  <si>
    <t>Исполнение судебных актов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</si>
  <si>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</si>
  <si>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</si>
  <si>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</si>
  <si>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</si>
  <si>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</si>
  <si>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</si>
  <si>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</si>
  <si>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</si>
  <si>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91 3 01 60620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</si>
  <si>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</si>
  <si>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</si>
  <si>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</si>
  <si>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</si>
  <si>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91 8 01 00080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</si>
  <si>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</si>
  <si>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</si>
  <si>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</si>
  <si>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91 3 01 60640</t>
  </si>
  <si>
    <t>06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</si>
  <si>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</si>
  <si>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</si>
  <si>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 xml:space="preserve">Другие вопросы в области национальной безопасности и правоохранительной деятельности
</t>
  </si>
  <si>
    <t>14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</si>
  <si>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</si>
  <si>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</si>
  <si>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91 5 00 00000</t>
  </si>
  <si>
    <t>91 5 01 00000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</si>
  <si>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</si>
  <si>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92 0 00 00000</t>
  </si>
  <si>
    <t>непрограммные расходы</t>
  </si>
  <si>
    <t>92 9 00 00000</t>
  </si>
  <si>
    <t>92 9 01 00000</t>
  </si>
  <si>
    <t xml:space="preserve">Выполнение других обязательств мунципальных образований </t>
  </si>
  <si>
    <t>92 9 01 00030</t>
  </si>
  <si>
    <t>13</t>
  </si>
  <si>
    <t>830</t>
  </si>
  <si>
    <t>99 0 00 00000</t>
  </si>
  <si>
    <t>Расходы на обеспечение деятельности муниципальных казенных
 учреждений</t>
  </si>
  <si>
    <t>9900016</t>
  </si>
  <si>
    <t>99 9 00 00000</t>
  </si>
  <si>
    <t>99 9 01 00000</t>
  </si>
  <si>
    <t xml:space="preserve">Доплаты к пенсиям муниципальных служащих </t>
  </si>
  <si>
    <t>99 9 01 03080</t>
  </si>
  <si>
    <t>Мероприятия направленные на пополнение оборотных средств предприятиям коммунального хозяйства  муниципального образования</t>
  </si>
  <si>
    <t>99 9 01 06910</t>
  </si>
  <si>
    <t>99 9 01 10050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</si>
  <si>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</si>
  <si>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9900464</t>
  </si>
  <si>
    <t>Приобретение объектов недвижимого имущества в муниципальную собственность</t>
  </si>
  <si>
    <t>9900478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</si>
  <si>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</si>
  <si>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99 9 01 70140</t>
  </si>
  <si>
    <t>99 9 01 10360</t>
  </si>
  <si>
    <t>99 9 01 10350</t>
  </si>
  <si>
    <t xml:space="preserve">Мероприятия в области национальной экономики 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</si>
  <si>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</si>
  <si>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</si>
  <si>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 xml:space="preserve">Мероприятия в области строительства, архитектуры и градостроительства </t>
  </si>
  <si>
    <t>99 9 01 10400</t>
  </si>
  <si>
    <t>99 9 01 11570</t>
  </si>
  <si>
    <t>Защита населения и территории от чрезвычайных ситуаций природного и техногенного характера, гражданская оборона</t>
  </si>
  <si>
    <t>99 9 01 10630</t>
  </si>
  <si>
    <t>Субсидии на возмещение фактически понесенных затрат на выполнение работ по содержанию и эксплуатации объектов уличного освещения на территории МО Тельмановское СП Тосненского района Ленинградской области</t>
  </si>
  <si>
    <t>99 9 01 13280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</si>
  <si>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</si>
  <si>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организации сбора и вывоза бытовых отходов</t>
  </si>
  <si>
    <t>99 9 01 13320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</si>
  <si>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</si>
  <si>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</si>
  <si>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</si>
  <si>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99 9 01 12730</t>
  </si>
  <si>
    <t>Закупка товаров, работ и услуг для обеспечения  государственных (муниципальных нужд)</t>
  </si>
  <si>
    <t>99 9 01 13250</t>
  </si>
  <si>
    <t>Мероприятия по развитию объектов благоустройства территории  муниципального образования</t>
  </si>
  <si>
    <t>99 9 01 13270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</si>
  <si>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</si>
  <si>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99 9 01 13300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</si>
  <si>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</si>
  <si>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99 9 01 13760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</si>
  <si>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</si>
  <si>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99 9 01 14250</t>
  </si>
  <si>
    <t xml:space="preserve">Мероприятия направленные на формирование уставного фонда муниципального унитарного предприятия для организации деятельности по водоснабжению и водоотведению на территории муниципального образования </t>
  </si>
  <si>
    <t>99 9 01 60870</t>
  </si>
  <si>
    <t>99 9 01 51180</t>
  </si>
  <si>
    <t xml:space="preserve">Субсидии на пополнение оборотных средств предприятиям коммунального хозяйства </t>
  </si>
  <si>
    <t xml:space="preserve">Мероприятия по капитальному ремонту и ремонту муниципального жилищного фонда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</si>
  <si>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</si>
  <si>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Мобилизационная  и вневойсковая подготовка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</si>
  <si>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</si>
  <si>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99 9 01 55502</t>
  </si>
  <si>
    <t>Мероприятия по развитию общественной инфраструктуры муниципального значения</t>
  </si>
  <si>
    <t>99 9 01 72020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</si>
  <si>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</si>
  <si>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99 9 01 76020</t>
  </si>
  <si>
    <t>99 9 01 S0360</t>
  </si>
  <si>
    <t xml:space="preserve">Обеспечение мероприятий по капитальному ремонту многоквартирных домов </t>
  </si>
  <si>
    <t>99 9 01 96010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</si>
</sst>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-* #,##0.000_р_._-;\-* #,##0.000_р_._-;_-* &quot;-&quot;??_р_._-;_-@_-"/>
    <numFmt numFmtId="167" formatCode="#,##0.000"/>
    <numFmt numFmtId="168" formatCode="_(* #,##0.000_);_(* \(#,##0.000\);_(* &quot;-&quot;??_);_(@_)"/>
    <numFmt numFmtId="169" formatCode="_-* #,##0.000_р_._-;\-* #,##0.000_р_._-;_-* &quot;-&quot;???_р_._-;_-@_-"/>
    <numFmt numFmtId="170" formatCode="#,##0.00000"/>
    <numFmt numFmtId="171" formatCode="?"/>
    <numFmt numFmtId="172" formatCode="_-* #,##0.00000_р_._-;\-* #,##0.00000_р_._-;_-* &quot;-&quot;??_р_._-;_-@_-"/>
    <numFmt numFmtId="173" formatCode="000000"/>
    <numFmt numFmtId="174" formatCode="#,##0.00_ ;[Red]\-#,##0.00\ "/>
    <numFmt numFmtId="175" formatCode="#,##0.000_ ;\-#,##0.000\ "/>
    <numFmt numFmtId="176" formatCode="_(&quot;$&quot;* #,##0.00_);_(&quot;$&quot;* \(#,##0.00\);_(&quot;$&quot;* &quot;-&quot;??_);_(@_)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1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4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21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165" fontId="3" fillId="0" borderId="0" xfId="2" applyNumberFormat="1" applyFont="1" applyFill="1" applyAlignment="1">
      <alignment horizontal="right"/>
    </xf>
    <xf numFmtId="166" fontId="3" fillId="0" borderId="0" xfId="3" applyNumberFormat="1" applyFont="1" applyFill="1" applyAlignment="1"/>
    <xf numFmtId="166" fontId="3" fillId="0" borderId="0" xfId="2" applyNumberFormat="1" applyFont="1" applyFill="1" applyAlignment="1">
      <alignment horizontal="right"/>
    </xf>
    <xf numFmtId="0" fontId="4" fillId="0" borderId="0" xfId="4" applyFont="1" applyFill="1" applyAlignment="1">
      <alignment horizontal="right"/>
    </xf>
    <xf numFmtId="0" fontId="2" fillId="0" borderId="0" xfId="4" applyFill="1"/>
    <xf numFmtId="0" fontId="3" fillId="0" borderId="0" xfId="1" applyFont="1" applyFill="1" applyBorder="1"/>
    <xf numFmtId="166" fontId="4" fillId="0" borderId="0" xfId="4" applyNumberFormat="1" applyFont="1" applyFill="1" applyAlignment="1">
      <alignment horizontal="right"/>
    </xf>
    <xf numFmtId="0" fontId="4" fillId="0" borderId="0" xfId="4" applyFont="1" applyFill="1" applyAlignment="1"/>
    <xf numFmtId="0" fontId="5" fillId="0" borderId="0" xfId="5" applyFont="1" applyFill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166" fontId="4" fillId="0" borderId="0" xfId="4" applyNumberFormat="1" applyFont="1" applyFill="1" applyAlignment="1"/>
    <xf numFmtId="166" fontId="4" fillId="0" borderId="0" xfId="4" applyNumberFormat="1" applyFont="1" applyFill="1" applyAlignment="1">
      <alignment horizontal="right"/>
    </xf>
    <xf numFmtId="0" fontId="4" fillId="0" borderId="0" xfId="4" applyFont="1" applyFill="1" applyAlignment="1">
      <alignment horizontal="right"/>
    </xf>
    <xf numFmtId="166" fontId="3" fillId="0" borderId="0" xfId="1" applyNumberFormat="1" applyFont="1" applyFill="1" applyAlignment="1">
      <alignment horizontal="center"/>
    </xf>
    <xf numFmtId="0" fontId="4" fillId="0" borderId="0" xfId="4" applyFont="1" applyFill="1" applyAlignment="1">
      <alignment horizontal="left"/>
    </xf>
    <xf numFmtId="166" fontId="5" fillId="0" borderId="0" xfId="3" applyNumberFormat="1" applyFont="1" applyFill="1" applyAlignment="1">
      <alignment vertical="center"/>
    </xf>
    <xf numFmtId="16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5" applyFont="1" applyFill="1" applyAlignment="1">
      <alignment vertical="center"/>
    </xf>
    <xf numFmtId="166" fontId="6" fillId="0" borderId="0" xfId="5" applyNumberFormat="1" applyFont="1" applyFill="1" applyAlignment="1">
      <alignment vertical="center"/>
    </xf>
    <xf numFmtId="166" fontId="5" fillId="0" borderId="0" xfId="5" applyNumberFormat="1" applyFont="1" applyFill="1" applyAlignment="1">
      <alignment horizontal="right" vertical="center"/>
    </xf>
    <xf numFmtId="0" fontId="5" fillId="0" borderId="0" xfId="5" applyFont="1" applyFill="1" applyAlignment="1">
      <alignment horizontal="right" vertical="center"/>
    </xf>
    <xf numFmtId="166" fontId="3" fillId="0" borderId="0" xfId="3" applyNumberFormat="1" applyFont="1" applyFill="1" applyAlignment="1">
      <alignment vertical="center"/>
    </xf>
    <xf numFmtId="166" fontId="3" fillId="0" borderId="0" xfId="1" applyNumberFormat="1" applyFont="1" applyFill="1" applyAlignment="1">
      <alignment horizontal="left" vertical="center"/>
    </xf>
    <xf numFmtId="166" fontId="3" fillId="0" borderId="0" xfId="1" applyNumberFormat="1" applyFont="1" applyFill="1" applyAlignment="1">
      <alignment horizontal="right" vertical="center"/>
    </xf>
    <xf numFmtId="0" fontId="5" fillId="0" borderId="0" xfId="6" applyFont="1" applyFill="1" applyAlignment="1">
      <alignment horizontal="right"/>
    </xf>
    <xf numFmtId="166" fontId="5" fillId="0" borderId="0" xfId="5" applyNumberFormat="1" applyFont="1" applyFill="1" applyAlignment="1">
      <alignment horizontal="right" vertical="center"/>
    </xf>
    <xf numFmtId="0" fontId="7" fillId="0" borderId="0" xfId="5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168" fontId="9" fillId="0" borderId="0" xfId="2" applyNumberFormat="1" applyFont="1" applyFill="1" applyAlignment="1">
      <alignment horizontal="right"/>
    </xf>
    <xf numFmtId="165" fontId="8" fillId="0" borderId="0" xfId="2" applyNumberFormat="1" applyFont="1" applyFill="1" applyAlignment="1">
      <alignment horizontal="right"/>
    </xf>
    <xf numFmtId="168" fontId="9" fillId="0" borderId="0" xfId="2" applyNumberFormat="1" applyFont="1" applyFill="1" applyAlignment="1">
      <alignment horizontal="left"/>
    </xf>
    <xf numFmtId="168" fontId="9" fillId="0" borderId="0" xfId="2" applyNumberFormat="1" applyFont="1" applyFill="1" applyAlignment="1">
      <alignment horizontal="center" vertical="center"/>
    </xf>
    <xf numFmtId="166" fontId="9" fillId="0" borderId="0" xfId="3" applyNumberFormat="1" applyFont="1" applyFill="1" applyAlignment="1"/>
    <xf numFmtId="166" fontId="9" fillId="0" borderId="0" xfId="2" applyNumberFormat="1" applyFont="1" applyFill="1" applyAlignment="1">
      <alignment horizontal="right"/>
    </xf>
    <xf numFmtId="169" fontId="3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horizontal="right" vertical="center"/>
    </xf>
    <xf numFmtId="167" fontId="9" fillId="0" borderId="0" xfId="2" applyNumberFormat="1" applyFont="1" applyFill="1" applyAlignment="1">
      <alignment horizontal="right"/>
    </xf>
    <xf numFmtId="168" fontId="9" fillId="0" borderId="0" xfId="2" applyNumberFormat="1" applyFont="1" applyFill="1"/>
    <xf numFmtId="0" fontId="10" fillId="0" borderId="0" xfId="1" applyFont="1" applyFill="1" applyAlignment="1">
      <alignment horizontal="right" vertical="center" wrapText="1"/>
    </xf>
    <xf numFmtId="49" fontId="10" fillId="0" borderId="0" xfId="1" applyNumberFormat="1" applyFont="1" applyFill="1" applyAlignment="1">
      <alignment horizontal="right" vertical="center" wrapText="1"/>
    </xf>
    <xf numFmtId="169" fontId="9" fillId="0" borderId="0" xfId="1" applyNumberFormat="1" applyFont="1" applyFill="1" applyBorder="1" applyAlignment="1">
      <alignment horizontal="left"/>
    </xf>
    <xf numFmtId="169" fontId="9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/>
    <xf numFmtId="166" fontId="3" fillId="0" borderId="0" xfId="1" applyNumberFormat="1" applyFont="1" applyFill="1" applyAlignment="1">
      <alignment horizontal="right"/>
    </xf>
    <xf numFmtId="0" fontId="11" fillId="0" borderId="0" xfId="7" applyFont="1" applyFill="1" applyAlignment="1">
      <alignment horizontal="center"/>
    </xf>
    <xf numFmtId="170" fontId="11" fillId="0" borderId="0" xfId="7" applyNumberFormat="1" applyFont="1" applyFill="1" applyAlignment="1">
      <alignment horizont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/>
    </xf>
    <xf numFmtId="165" fontId="5" fillId="0" borderId="0" xfId="2" applyNumberFormat="1" applyFont="1" applyFill="1" applyAlignment="1">
      <alignment horizontal="right"/>
    </xf>
    <xf numFmtId="166" fontId="5" fillId="0" borderId="0" xfId="3" applyNumberFormat="1" applyFont="1" applyFill="1" applyAlignment="1"/>
    <xf numFmtId="166" fontId="5" fillId="0" borderId="0" xfId="2" applyNumberFormat="1" applyFont="1" applyFill="1" applyAlignment="1">
      <alignment horizontal="right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center" vertical="center"/>
    </xf>
    <xf numFmtId="171" fontId="13" fillId="0" borderId="1" xfId="5" applyNumberFormat="1" applyFont="1" applyFill="1" applyBorder="1" applyAlignment="1">
      <alignment horizontal="center" vertical="top" wrapText="1"/>
    </xf>
    <xf numFmtId="166" fontId="12" fillId="0" borderId="1" xfId="3" applyNumberFormat="1" applyFont="1" applyFill="1" applyBorder="1" applyAlignment="1">
      <alignment vertical="center"/>
    </xf>
    <xf numFmtId="166" fontId="12" fillId="0" borderId="1" xfId="2" applyNumberFormat="1" applyFont="1" applyFill="1" applyBorder="1" applyAlignment="1">
      <alignment horizontal="center" vertical="center"/>
    </xf>
    <xf numFmtId="166" fontId="12" fillId="0" borderId="1" xfId="2" applyNumberFormat="1" applyFont="1" applyFill="1" applyBorder="1" applyAlignment="1">
      <alignment horizontal="right" vertical="center"/>
    </xf>
    <xf numFmtId="0" fontId="14" fillId="0" borderId="0" xfId="1" applyFont="1" applyFill="1"/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168" fontId="15" fillId="0" borderId="1" xfId="2" applyNumberFormat="1" applyFont="1" applyFill="1" applyBorder="1" applyAlignment="1">
      <alignment horizontal="right" vertical="center" wrapText="1"/>
    </xf>
    <xf numFmtId="165" fontId="15" fillId="0" borderId="1" xfId="2" applyNumberFormat="1" applyFont="1" applyFill="1" applyBorder="1" applyAlignment="1">
      <alignment horizontal="right" vertical="center" wrapText="1"/>
    </xf>
    <xf numFmtId="166" fontId="15" fillId="0" borderId="1" xfId="3" applyNumberFormat="1" applyFont="1" applyFill="1" applyBorder="1" applyAlignment="1">
      <alignment vertical="center" wrapText="1"/>
    </xf>
    <xf numFmtId="166" fontId="15" fillId="0" borderId="1" xfId="2" applyNumberFormat="1" applyFont="1" applyFill="1" applyBorder="1" applyAlignment="1">
      <alignment horizontal="right" vertical="center" wrapText="1"/>
    </xf>
    <xf numFmtId="0" fontId="14" fillId="0" borderId="0" xfId="1" applyFont="1" applyFill="1" applyBorder="1"/>
    <xf numFmtId="0" fontId="16" fillId="0" borderId="2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68" fontId="16" fillId="0" borderId="1" xfId="2" applyNumberFormat="1" applyFont="1" applyFill="1" applyBorder="1" applyAlignment="1">
      <alignment horizontal="right" vertical="center" wrapText="1"/>
    </xf>
    <xf numFmtId="165" fontId="16" fillId="0" borderId="1" xfId="2" applyNumberFormat="1" applyFont="1" applyFill="1" applyBorder="1" applyAlignment="1">
      <alignment horizontal="right" vertical="center" wrapText="1"/>
    </xf>
    <xf numFmtId="166" fontId="16" fillId="0" borderId="1" xfId="3" applyNumberFormat="1" applyFont="1" applyFill="1" applyBorder="1" applyAlignment="1">
      <alignment vertical="center" wrapText="1"/>
    </xf>
    <xf numFmtId="166" fontId="16" fillId="0" borderId="1" xfId="2" applyNumberFormat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right" vertical="center" wrapText="1"/>
    </xf>
    <xf numFmtId="166" fontId="17" fillId="0" borderId="1" xfId="3" applyNumberFormat="1" applyFont="1" applyFill="1" applyBorder="1" applyAlignment="1">
      <alignment vertical="center" wrapText="1"/>
    </xf>
    <xf numFmtId="166" fontId="17" fillId="0" borderId="1" xfId="2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68" fontId="17" fillId="0" borderId="1" xfId="2" applyNumberFormat="1" applyFont="1" applyFill="1" applyBorder="1" applyAlignment="1">
      <alignment horizontal="right" vertical="center" wrapText="1"/>
    </xf>
    <xf numFmtId="0" fontId="7" fillId="0" borderId="0" xfId="5" applyFont="1" applyFill="1"/>
    <xf numFmtId="0" fontId="7" fillId="0" borderId="1" xfId="1" applyFont="1" applyFill="1" applyBorder="1" applyAlignment="1">
      <alignment horizontal="center" vertical="center" wrapText="1"/>
    </xf>
    <xf numFmtId="168" fontId="7" fillId="0" borderId="1" xfId="2" applyNumberFormat="1" applyFont="1" applyFill="1" applyBorder="1" applyAlignment="1">
      <alignment horizontal="right" vertical="center" wrapText="1"/>
    </xf>
    <xf numFmtId="168" fontId="18" fillId="0" borderId="1" xfId="2" applyNumberFormat="1" applyFont="1" applyFill="1" applyBorder="1" applyAlignment="1">
      <alignment horizontal="right" vertical="center" wrapText="1"/>
    </xf>
    <xf numFmtId="166" fontId="7" fillId="0" borderId="1" xfId="3" applyNumberFormat="1" applyFont="1" applyFill="1" applyBorder="1" applyAlignment="1">
      <alignment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5" fontId="7" fillId="0" borderId="1" xfId="2" applyNumberFormat="1" applyFont="1" applyFill="1" applyBorder="1" applyAlignment="1">
      <alignment horizontal="right" vertical="center" wrapText="1"/>
    </xf>
    <xf numFmtId="165" fontId="18" fillId="0" borderId="1" xfId="2" applyNumberFormat="1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>
      <alignment horizontal="right" vertical="center" wrapText="1"/>
    </xf>
    <xf numFmtId="165" fontId="12" fillId="0" borderId="1" xfId="2" applyNumberFormat="1" applyFont="1" applyFill="1" applyBorder="1" applyAlignment="1">
      <alignment horizontal="right" vertical="center" wrapText="1"/>
    </xf>
    <xf numFmtId="166" fontId="12" fillId="0" borderId="1" xfId="3" applyNumberFormat="1" applyFont="1" applyFill="1" applyBorder="1" applyAlignment="1">
      <alignment vertical="center" wrapText="1"/>
    </xf>
    <xf numFmtId="166" fontId="12" fillId="0" borderId="1" xfId="2" applyNumberFormat="1" applyFont="1" applyFill="1" applyBorder="1" applyAlignment="1">
      <alignment horizontal="right" vertical="center" wrapText="1"/>
    </xf>
    <xf numFmtId="0" fontId="18" fillId="0" borderId="2" xfId="1" applyFont="1" applyFill="1" applyBorder="1" applyAlignment="1">
      <alignment horizontal="left" vertical="center" wrapText="1"/>
    </xf>
    <xf numFmtId="164" fontId="18" fillId="0" borderId="1" xfId="2" applyFont="1" applyFill="1" applyBorder="1" applyAlignment="1">
      <alignment horizontal="right" vertical="center" wrapText="1"/>
    </xf>
    <xf numFmtId="166" fontId="18" fillId="0" borderId="1" xfId="3" applyNumberFormat="1" applyFont="1" applyFill="1" applyBorder="1" applyAlignment="1">
      <alignment vertical="center" wrapText="1"/>
    </xf>
    <xf numFmtId="166" fontId="18" fillId="0" borderId="1" xfId="2" applyNumberFormat="1" applyFont="1" applyFill="1" applyBorder="1" applyAlignment="1">
      <alignment horizontal="righ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0" fontId="19" fillId="0" borderId="2" xfId="1" applyFont="1" applyFill="1" applyBorder="1" applyAlignment="1">
      <alignment horizontal="left" vertical="center" wrapText="1"/>
    </xf>
    <xf numFmtId="171" fontId="7" fillId="0" borderId="1" xfId="1" applyNumberFormat="1" applyFont="1" applyFill="1" applyBorder="1" applyAlignment="1" applyProtection="1">
      <alignment horizontal="left" vertical="center" wrapText="1"/>
    </xf>
    <xf numFmtId="171" fontId="7" fillId="0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1" xfId="5" applyFont="1" applyFill="1" applyBorder="1"/>
    <xf numFmtId="0" fontId="17" fillId="0" borderId="1" xfId="1" applyFont="1" applyFill="1" applyBorder="1" applyAlignment="1">
      <alignment horizontal="center" vertical="center"/>
    </xf>
    <xf numFmtId="49" fontId="16" fillId="0" borderId="2" xfId="1" applyNumberFormat="1" applyFont="1" applyFill="1" applyBorder="1" applyAlignment="1" applyProtection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 wrapText="1"/>
    </xf>
    <xf numFmtId="165" fontId="21" fillId="0" borderId="1" xfId="2" applyNumberFormat="1" applyFont="1" applyFill="1" applyBorder="1" applyAlignment="1">
      <alignment horizontal="right" vertical="center" wrapText="1"/>
    </xf>
    <xf numFmtId="166" fontId="21" fillId="0" borderId="1" xfId="3" applyNumberFormat="1" applyFont="1" applyFill="1" applyBorder="1" applyAlignment="1">
      <alignment vertical="center" wrapText="1"/>
    </xf>
    <xf numFmtId="166" fontId="21" fillId="0" borderId="1" xfId="2" applyNumberFormat="1" applyFont="1" applyFill="1" applyBorder="1" applyAlignment="1">
      <alignment horizontal="right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168" fontId="21" fillId="0" borderId="1" xfId="2" applyNumberFormat="1" applyFont="1" applyFill="1" applyBorder="1" applyAlignment="1">
      <alignment horizontal="right" vertical="center" wrapText="1"/>
    </xf>
    <xf numFmtId="49" fontId="12" fillId="0" borderId="1" xfId="1" applyNumberFormat="1" applyFont="1" applyFill="1" applyBorder="1" applyAlignment="1">
      <alignment vertical="center" wrapText="1"/>
    </xf>
    <xf numFmtId="167" fontId="12" fillId="0" borderId="1" xfId="1" applyNumberFormat="1" applyFont="1" applyFill="1" applyBorder="1" applyAlignment="1">
      <alignment vertical="center" wrapText="1"/>
    </xf>
    <xf numFmtId="166" fontId="12" fillId="0" borderId="1" xfId="1" applyNumberFormat="1" applyFont="1" applyFill="1" applyBorder="1" applyAlignment="1">
      <alignment vertical="center" wrapText="1"/>
    </xf>
    <xf numFmtId="166" fontId="12" fillId="0" borderId="1" xfId="1" applyNumberFormat="1" applyFont="1" applyFill="1" applyBorder="1" applyAlignment="1">
      <alignment horizontal="right" vertical="center" wrapText="1"/>
    </xf>
    <xf numFmtId="0" fontId="22" fillId="0" borderId="2" xfId="1" applyFont="1" applyFill="1" applyBorder="1" applyAlignment="1">
      <alignment horizontal="left" vertical="center" wrapText="1"/>
    </xf>
    <xf numFmtId="49" fontId="23" fillId="0" borderId="1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23" fillId="0" borderId="3" xfId="1" applyNumberFormat="1" applyFont="1" applyFill="1" applyBorder="1" applyAlignment="1">
      <alignment horizontal="center" vertical="center" wrapText="1"/>
    </xf>
    <xf numFmtId="165" fontId="18" fillId="0" borderId="2" xfId="2" applyNumberFormat="1" applyFont="1" applyFill="1" applyBorder="1" applyAlignment="1">
      <alignment horizontal="right" vertical="center" wrapText="1"/>
    </xf>
    <xf numFmtId="166" fontId="18" fillId="0" borderId="2" xfId="3" applyNumberFormat="1" applyFont="1" applyFill="1" applyBorder="1" applyAlignment="1">
      <alignment vertical="center" wrapText="1"/>
    </xf>
    <xf numFmtId="166" fontId="18" fillId="0" borderId="2" xfId="2" applyNumberFormat="1" applyFont="1" applyFill="1" applyBorder="1" applyAlignment="1">
      <alignment horizontal="right" vertical="center" wrapText="1"/>
    </xf>
    <xf numFmtId="0" fontId="3" fillId="0" borderId="4" xfId="1" applyFont="1" applyFill="1" applyBorder="1"/>
    <xf numFmtId="168" fontId="20" fillId="0" borderId="1" xfId="2" applyNumberFormat="1" applyFont="1" applyFill="1" applyBorder="1" applyAlignment="1">
      <alignment horizontal="right" vertical="center" wrapText="1"/>
    </xf>
    <xf numFmtId="165" fontId="20" fillId="0" borderId="1" xfId="2" applyNumberFormat="1" applyFont="1" applyFill="1" applyBorder="1" applyAlignment="1">
      <alignment horizontal="right" vertical="center" wrapText="1"/>
    </xf>
    <xf numFmtId="166" fontId="20" fillId="0" borderId="1" xfId="3" applyNumberFormat="1" applyFont="1" applyFill="1" applyBorder="1" applyAlignment="1">
      <alignment vertical="center" wrapText="1"/>
    </xf>
    <xf numFmtId="166" fontId="20" fillId="0" borderId="1" xfId="2" applyNumberFormat="1" applyFont="1" applyFill="1" applyBorder="1" applyAlignment="1">
      <alignment horizontal="right" vertical="center" wrapText="1"/>
    </xf>
    <xf numFmtId="0" fontId="17" fillId="0" borderId="2" xfId="1" applyFont="1" applyFill="1" applyBorder="1" applyAlignment="1">
      <alignment horizontal="left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12" fillId="0" borderId="1" xfId="2" applyNumberFormat="1" applyFont="1" applyFill="1" applyBorder="1" applyAlignment="1">
      <alignment horizontal="right" vertical="center" wrapText="1"/>
    </xf>
    <xf numFmtId="0" fontId="24" fillId="0" borderId="1" xfId="1" applyFont="1" applyFill="1" applyBorder="1" applyAlignment="1">
      <alignment wrapText="1"/>
    </xf>
    <xf numFmtId="164" fontId="21" fillId="0" borderId="1" xfId="2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/>
    <xf numFmtId="0" fontId="22" fillId="0" borderId="1" xfId="1" applyFont="1" applyFill="1" applyBorder="1" applyAlignment="1">
      <alignment wrapText="1"/>
    </xf>
    <xf numFmtId="0" fontId="18" fillId="0" borderId="1" xfId="1" applyFont="1" applyFill="1" applyBorder="1" applyAlignment="1">
      <alignment wrapText="1"/>
    </xf>
    <xf numFmtId="49" fontId="18" fillId="0" borderId="1" xfId="1" applyNumberFormat="1" applyFont="1" applyFill="1" applyBorder="1" applyAlignment="1">
      <alignment vertical="center" wrapText="1"/>
    </xf>
    <xf numFmtId="167" fontId="18" fillId="0" borderId="1" xfId="1" applyNumberFormat="1" applyFont="1" applyFill="1" applyBorder="1" applyAlignment="1">
      <alignment vertical="center" wrapText="1"/>
    </xf>
    <xf numFmtId="167" fontId="18" fillId="0" borderId="3" xfId="1" applyNumberFormat="1" applyFont="1" applyFill="1" applyBorder="1" applyAlignment="1">
      <alignment vertical="center" wrapText="1"/>
    </xf>
    <xf numFmtId="166" fontId="18" fillId="0" borderId="1" xfId="1" applyNumberFormat="1" applyFont="1" applyFill="1" applyBorder="1" applyAlignment="1">
      <alignment vertical="center" wrapText="1"/>
    </xf>
    <xf numFmtId="166" fontId="18" fillId="0" borderId="1" xfId="1" applyNumberFormat="1" applyFont="1" applyFill="1" applyBorder="1" applyAlignment="1">
      <alignment horizontal="right" vertical="center" wrapText="1"/>
    </xf>
    <xf numFmtId="0" fontId="18" fillId="0" borderId="2" xfId="1" applyFont="1" applyFill="1" applyBorder="1" applyAlignment="1">
      <alignment vertical="top" wrapText="1"/>
    </xf>
    <xf numFmtId="167" fontId="18" fillId="0" borderId="5" xfId="1" applyNumberFormat="1" applyFont="1" applyFill="1" applyBorder="1" applyAlignment="1">
      <alignment horizontal="right" vertical="center" wrapText="1"/>
    </xf>
    <xf numFmtId="167" fontId="18" fillId="0" borderId="6" xfId="1" applyNumberFormat="1" applyFont="1" applyFill="1" applyBorder="1" applyAlignment="1">
      <alignment vertical="center" wrapText="1"/>
    </xf>
    <xf numFmtId="167" fontId="3" fillId="0" borderId="1" xfId="1" applyNumberFormat="1" applyFont="1" applyFill="1" applyBorder="1"/>
    <xf numFmtId="167" fontId="3" fillId="0" borderId="2" xfId="1" applyNumberFormat="1" applyFont="1" applyFill="1" applyBorder="1"/>
    <xf numFmtId="166" fontId="18" fillId="0" borderId="5" xfId="3" applyNumberFormat="1" applyFont="1" applyFill="1" applyBorder="1" applyAlignment="1">
      <alignment vertical="center" wrapText="1"/>
    </xf>
    <xf numFmtId="166" fontId="18" fillId="0" borderId="5" xfId="1" applyNumberFormat="1" applyFont="1" applyFill="1" applyBorder="1" applyAlignment="1">
      <alignment horizontal="right" vertical="center" wrapText="1"/>
    </xf>
    <xf numFmtId="0" fontId="7" fillId="0" borderId="0" xfId="5" applyFont="1" applyFill="1" applyAlignment="1">
      <alignment wrapText="1"/>
    </xf>
    <xf numFmtId="168" fontId="18" fillId="0" borderId="7" xfId="2" applyNumberFormat="1" applyFont="1" applyFill="1" applyBorder="1" applyAlignment="1">
      <alignment horizontal="right" vertical="center" wrapText="1"/>
    </xf>
    <xf numFmtId="49" fontId="18" fillId="0" borderId="6" xfId="1" applyNumberFormat="1" applyFont="1" applyFill="1" applyBorder="1" applyAlignment="1">
      <alignment vertical="center" wrapText="1"/>
    </xf>
    <xf numFmtId="167" fontId="7" fillId="0" borderId="1" xfId="1" applyNumberFormat="1" applyFont="1" applyFill="1" applyBorder="1" applyAlignment="1">
      <alignment horizontal="right" vertical="center"/>
    </xf>
    <xf numFmtId="167" fontId="7" fillId="0" borderId="2" xfId="1" applyNumberFormat="1" applyFont="1" applyFill="1" applyBorder="1" applyAlignment="1">
      <alignment horizontal="right" vertical="center"/>
    </xf>
    <xf numFmtId="166" fontId="18" fillId="0" borderId="7" xfId="3" applyNumberFormat="1" applyFont="1" applyFill="1" applyBorder="1" applyAlignment="1">
      <alignment vertical="center" wrapText="1"/>
    </xf>
    <xf numFmtId="166" fontId="18" fillId="0" borderId="7" xfId="2" applyNumberFormat="1" applyFont="1" applyFill="1" applyBorder="1" applyAlignment="1">
      <alignment horizontal="right" vertical="center" wrapText="1"/>
    </xf>
    <xf numFmtId="164" fontId="12" fillId="0" borderId="1" xfId="2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vertical="top" wrapText="1"/>
    </xf>
    <xf numFmtId="167" fontId="12" fillId="0" borderId="2" xfId="1" applyNumberFormat="1" applyFont="1" applyFill="1" applyBorder="1" applyAlignment="1">
      <alignment vertical="center" wrapText="1"/>
    </xf>
    <xf numFmtId="166" fontId="12" fillId="0" borderId="2" xfId="3" applyNumberFormat="1" applyFont="1" applyFill="1" applyBorder="1" applyAlignment="1">
      <alignment vertical="center" wrapText="1"/>
    </xf>
    <xf numFmtId="166" fontId="12" fillId="0" borderId="2" xfId="1" applyNumberFormat="1" applyFont="1" applyFill="1" applyBorder="1" applyAlignment="1">
      <alignment vertical="center" wrapText="1"/>
    </xf>
    <xf numFmtId="166" fontId="12" fillId="0" borderId="2" xfId="1" applyNumberFormat="1" applyFont="1" applyFill="1" applyBorder="1" applyAlignment="1">
      <alignment horizontal="right" vertical="center" wrapText="1"/>
    </xf>
    <xf numFmtId="49" fontId="12" fillId="0" borderId="0" xfId="1" applyNumberFormat="1" applyFont="1" applyFill="1" applyBorder="1" applyAlignment="1">
      <alignment vertical="center" wrapText="1"/>
    </xf>
    <xf numFmtId="49" fontId="19" fillId="0" borderId="8" xfId="1" applyNumberFormat="1" applyFont="1" applyFill="1" applyBorder="1" applyAlignment="1">
      <alignment horizontal="center" vertical="center" wrapText="1"/>
    </xf>
    <xf numFmtId="49" fontId="19" fillId="0" borderId="6" xfId="1" applyNumberFormat="1" applyFont="1" applyFill="1" applyBorder="1" applyAlignment="1">
      <alignment horizontal="center" vertical="center" wrapText="1"/>
    </xf>
    <xf numFmtId="49" fontId="19" fillId="0" borderId="5" xfId="1" applyNumberFormat="1" applyFont="1" applyFill="1" applyBorder="1" applyAlignment="1">
      <alignment horizontal="center" vertical="center" wrapText="1"/>
    </xf>
    <xf numFmtId="49" fontId="19" fillId="0" borderId="0" xfId="1" applyNumberFormat="1" applyFont="1" applyFill="1" applyBorder="1" applyAlignment="1">
      <alignment horizontal="center" vertical="center" wrapText="1"/>
    </xf>
    <xf numFmtId="49" fontId="19" fillId="0" borderId="3" xfId="1" applyNumberFormat="1" applyFont="1" applyFill="1" applyBorder="1" applyAlignment="1">
      <alignment horizontal="center" vertical="center" wrapText="1"/>
    </xf>
    <xf numFmtId="49" fontId="19" fillId="0" borderId="9" xfId="1" applyNumberFormat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167" fontId="7" fillId="0" borderId="2" xfId="1" applyNumberFormat="1" applyFont="1" applyFill="1" applyBorder="1" applyAlignment="1">
      <alignment horizontal="right" vertical="center" wrapText="1"/>
    </xf>
    <xf numFmtId="167" fontId="19" fillId="0" borderId="1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/>
    <xf numFmtId="166" fontId="7" fillId="0" borderId="2" xfId="3" applyNumberFormat="1" applyFont="1" applyFill="1" applyBorder="1" applyAlignment="1">
      <alignment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168" fontId="12" fillId="0" borderId="1" xfId="2" applyNumberFormat="1" applyFont="1" applyFill="1" applyBorder="1" applyAlignment="1">
      <alignment vertical="center" wrapText="1"/>
    </xf>
    <xf numFmtId="166" fontId="12" fillId="0" borderId="1" xfId="2" applyNumberFormat="1" applyFont="1" applyFill="1" applyBorder="1" applyAlignment="1">
      <alignment vertical="center" wrapText="1"/>
    </xf>
    <xf numFmtId="0" fontId="17" fillId="0" borderId="2" xfId="1" applyFont="1" applyFill="1" applyBorder="1" applyAlignment="1">
      <alignment vertical="top" wrapText="1"/>
    </xf>
    <xf numFmtId="165" fontId="18" fillId="0" borderId="1" xfId="2" applyNumberFormat="1" applyFont="1" applyFill="1" applyBorder="1" applyAlignment="1">
      <alignment vertical="center" wrapText="1"/>
    </xf>
    <xf numFmtId="166" fontId="18" fillId="0" borderId="1" xfId="2" applyNumberFormat="1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5" fillId="0" borderId="0" xfId="1" applyFont="1" applyFill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49" fontId="20" fillId="0" borderId="0" xfId="1" applyNumberFormat="1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right" vertical="center" wrapText="1"/>
    </xf>
    <xf numFmtId="0" fontId="7" fillId="0" borderId="2" xfId="1" applyNumberFormat="1" applyFont="1" applyFill="1" applyBorder="1" applyAlignment="1">
      <alignment horizontal="left" vertical="center" wrapText="1"/>
    </xf>
    <xf numFmtId="0" fontId="15" fillId="0" borderId="0" xfId="1" applyFont="1" applyFill="1" applyBorder="1"/>
    <xf numFmtId="0" fontId="15" fillId="0" borderId="0" xfId="1" applyFont="1" applyFill="1"/>
    <xf numFmtId="0" fontId="7" fillId="0" borderId="1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left" vertical="center" wrapText="1"/>
    </xf>
    <xf numFmtId="165" fontId="12" fillId="0" borderId="1" xfId="1" applyNumberFormat="1" applyFont="1" applyFill="1" applyBorder="1" applyAlignment="1">
      <alignment vertical="center" wrapText="1"/>
    </xf>
    <xf numFmtId="168" fontId="18" fillId="0" borderId="2" xfId="2" applyNumberFormat="1" applyFont="1" applyFill="1" applyBorder="1" applyAlignment="1">
      <alignment vertical="center" wrapText="1"/>
    </xf>
    <xf numFmtId="166" fontId="18" fillId="0" borderId="2" xfId="2" applyNumberFormat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3" fillId="0" borderId="10" xfId="1" applyFont="1" applyFill="1" applyBorder="1"/>
    <xf numFmtId="0" fontId="12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right"/>
    </xf>
    <xf numFmtId="171" fontId="13" fillId="0" borderId="13" xfId="5" applyNumberFormat="1" applyFont="1" applyFill="1" applyBorder="1" applyAlignment="1">
      <alignment horizontal="center" vertical="top" wrapText="1"/>
    </xf>
    <xf numFmtId="171" fontId="13" fillId="0" borderId="14" xfId="5" applyNumberFormat="1" applyFont="1" applyFill="1" applyBorder="1" applyAlignment="1">
      <alignment horizontal="center" vertical="top" wrapText="1"/>
    </xf>
    <xf numFmtId="166" fontId="12" fillId="0" borderId="15" xfId="3" applyNumberFormat="1" applyFont="1" applyFill="1" applyBorder="1" applyAlignment="1">
      <alignment horizontal="center" vertical="center"/>
    </xf>
    <xf numFmtId="166" fontId="12" fillId="0" borderId="11" xfId="2" applyNumberFormat="1" applyFont="1" applyFill="1" applyBorder="1" applyAlignment="1">
      <alignment horizontal="center" vertical="center"/>
    </xf>
    <xf numFmtId="166" fontId="12" fillId="0" borderId="13" xfId="2" applyNumberFormat="1" applyFont="1" applyFill="1" applyBorder="1" applyAlignment="1">
      <alignment horizontal="center" vertical="center"/>
    </xf>
    <xf numFmtId="166" fontId="12" fillId="0" borderId="16" xfId="2" applyNumberFormat="1" applyFont="1" applyFill="1" applyBorder="1" applyAlignment="1">
      <alignment horizontal="right" vertical="center"/>
    </xf>
    <xf numFmtId="166" fontId="12" fillId="0" borderId="15" xfId="2" applyNumberFormat="1" applyFont="1" applyFill="1" applyBorder="1" applyAlignment="1">
      <alignment horizontal="right" vertical="center"/>
    </xf>
    <xf numFmtId="172" fontId="3" fillId="0" borderId="0" xfId="1" applyNumberFormat="1" applyFont="1" applyFill="1" applyBorder="1"/>
    <xf numFmtId="0" fontId="3" fillId="0" borderId="17" xfId="1" applyFont="1" applyFill="1" applyBorder="1"/>
    <xf numFmtId="49" fontId="11" fillId="0" borderId="2" xfId="5" applyNumberFormat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67" fontId="12" fillId="0" borderId="2" xfId="2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/>
    </xf>
    <xf numFmtId="168" fontId="12" fillId="0" borderId="2" xfId="2" applyNumberFormat="1" applyFont="1" applyFill="1" applyBorder="1" applyAlignment="1">
      <alignment horizontal="center" vertical="center"/>
    </xf>
    <xf numFmtId="168" fontId="12" fillId="0" borderId="9" xfId="2" applyNumberFormat="1" applyFont="1" applyFill="1" applyBorder="1" applyAlignment="1">
      <alignment horizontal="center" vertical="center"/>
    </xf>
    <xf numFmtId="166" fontId="12" fillId="0" borderId="18" xfId="3" applyNumberFormat="1" applyFont="1" applyFill="1" applyBorder="1" applyAlignment="1">
      <alignment vertical="center"/>
    </xf>
    <xf numFmtId="166" fontId="12" fillId="0" borderId="2" xfId="2" applyNumberFormat="1" applyFont="1" applyFill="1" applyBorder="1" applyAlignment="1">
      <alignment horizontal="right" vertical="center"/>
    </xf>
    <xf numFmtId="166" fontId="12" fillId="0" borderId="9" xfId="2" applyNumberFormat="1" applyFont="1" applyFill="1" applyBorder="1" applyAlignment="1">
      <alignment horizontal="right" vertical="center"/>
    </xf>
    <xf numFmtId="166" fontId="12" fillId="0" borderId="19" xfId="2" applyNumberFormat="1" applyFont="1" applyFill="1" applyBorder="1" applyAlignment="1">
      <alignment horizontal="right" vertical="center"/>
    </xf>
    <xf numFmtId="166" fontId="12" fillId="0" borderId="18" xfId="2" applyNumberFormat="1" applyFont="1" applyFill="1" applyBorder="1" applyAlignment="1">
      <alignment horizontal="right" vertical="center"/>
    </xf>
    <xf numFmtId="0" fontId="15" fillId="0" borderId="2" xfId="5" applyFont="1" applyFill="1" applyBorder="1" applyAlignment="1">
      <alignment horizontal="left" vertical="center"/>
    </xf>
    <xf numFmtId="166" fontId="12" fillId="0" borderId="2" xfId="2" applyNumberFormat="1" applyFont="1" applyFill="1" applyBorder="1" applyAlignment="1">
      <alignment horizontal="center" vertical="center"/>
    </xf>
    <xf numFmtId="166" fontId="12" fillId="0" borderId="6" xfId="2" applyNumberFormat="1" applyFont="1" applyFill="1" applyBorder="1" applyAlignment="1">
      <alignment horizontal="right" vertical="center"/>
    </xf>
    <xf numFmtId="0" fontId="27" fillId="0" borderId="17" xfId="1" applyFont="1" applyFill="1" applyBorder="1" applyAlignment="1">
      <alignment horizontal="center" vertical="center"/>
    </xf>
    <xf numFmtId="168" fontId="12" fillId="0" borderId="2" xfId="2" applyNumberFormat="1" applyFont="1" applyFill="1" applyBorder="1" applyAlignment="1">
      <alignment vertical="center" wrapText="1"/>
    </xf>
    <xf numFmtId="168" fontId="18" fillId="0" borderId="9" xfId="2" applyNumberFormat="1" applyFont="1" applyFill="1" applyBorder="1" applyAlignment="1">
      <alignment vertical="center" wrapText="1"/>
    </xf>
    <xf numFmtId="166" fontId="12" fillId="0" borderId="18" xfId="3" applyNumberFormat="1" applyFont="1" applyFill="1" applyBorder="1" applyAlignment="1">
      <alignment vertical="center" wrapText="1"/>
    </xf>
    <xf numFmtId="166" fontId="12" fillId="0" borderId="2" xfId="2" applyNumberFormat="1" applyFont="1" applyFill="1" applyBorder="1" applyAlignment="1">
      <alignment vertical="center" wrapText="1"/>
    </xf>
    <xf numFmtId="166" fontId="12" fillId="0" borderId="9" xfId="2" applyNumberFormat="1" applyFont="1" applyFill="1" applyBorder="1" applyAlignment="1">
      <alignment horizontal="right" vertical="center" wrapText="1"/>
    </xf>
    <xf numFmtId="166" fontId="12" fillId="0" borderId="18" xfId="2" applyNumberFormat="1" applyFont="1" applyFill="1" applyBorder="1" applyAlignment="1">
      <alignment horizontal="right" vertical="center" wrapText="1"/>
    </xf>
    <xf numFmtId="168" fontId="18" fillId="0" borderId="3" xfId="2" applyNumberFormat="1" applyFont="1" applyFill="1" applyBorder="1" applyAlignment="1">
      <alignment horizontal="right" vertical="center" wrapText="1"/>
    </xf>
    <xf numFmtId="166" fontId="18" fillId="0" borderId="18" xfId="3" applyNumberFormat="1" applyFont="1" applyFill="1" applyBorder="1" applyAlignment="1">
      <alignment vertical="center" wrapText="1"/>
    </xf>
    <xf numFmtId="166" fontId="18" fillId="0" borderId="3" xfId="2" applyNumberFormat="1" applyFont="1" applyFill="1" applyBorder="1" applyAlignment="1">
      <alignment horizontal="right" vertical="center" wrapText="1"/>
    </xf>
    <xf numFmtId="166" fontId="18" fillId="0" borderId="18" xfId="2" applyNumberFormat="1" applyFont="1" applyFill="1" applyBorder="1" applyAlignment="1">
      <alignment horizontal="right" vertical="center" wrapText="1"/>
    </xf>
    <xf numFmtId="168" fontId="17" fillId="0" borderId="3" xfId="2" applyNumberFormat="1" applyFont="1" applyFill="1" applyBorder="1" applyAlignment="1">
      <alignment horizontal="right" vertical="center" wrapText="1"/>
    </xf>
    <xf numFmtId="166" fontId="17" fillId="0" borderId="18" xfId="3" applyNumberFormat="1" applyFont="1" applyFill="1" applyBorder="1" applyAlignment="1">
      <alignment vertical="center" wrapText="1"/>
    </xf>
    <xf numFmtId="166" fontId="17" fillId="0" borderId="2" xfId="2" applyNumberFormat="1" applyFont="1" applyFill="1" applyBorder="1" applyAlignment="1">
      <alignment horizontal="right" vertical="center" wrapText="1"/>
    </xf>
    <xf numFmtId="166" fontId="17" fillId="0" borderId="3" xfId="2" applyNumberFormat="1" applyFont="1" applyFill="1" applyBorder="1" applyAlignment="1">
      <alignment horizontal="right" vertical="center" wrapText="1"/>
    </xf>
    <xf numFmtId="166" fontId="17" fillId="0" borderId="18" xfId="2" applyNumberFormat="1" applyFont="1" applyFill="1" applyBorder="1" applyAlignment="1">
      <alignment horizontal="right" vertical="center" wrapText="1"/>
    </xf>
    <xf numFmtId="0" fontId="11" fillId="0" borderId="0" xfId="7" applyFont="1" applyFill="1" applyBorder="1" applyAlignment="1"/>
    <xf numFmtId="0" fontId="7" fillId="0" borderId="1" xfId="5" applyFont="1" applyFill="1" applyBorder="1" applyAlignment="1">
      <alignment horizontal="justify" vertical="top" wrapText="1"/>
    </xf>
    <xf numFmtId="165" fontId="18" fillId="0" borderId="3" xfId="2" applyNumberFormat="1" applyFont="1" applyFill="1" applyBorder="1" applyAlignment="1">
      <alignment horizontal="right" vertical="center" wrapText="1"/>
    </xf>
    <xf numFmtId="165" fontId="12" fillId="0" borderId="3" xfId="2" applyNumberFormat="1" applyFont="1" applyFill="1" applyBorder="1" applyAlignment="1">
      <alignment horizontal="right" vertical="center" wrapText="1"/>
    </xf>
    <xf numFmtId="166" fontId="12" fillId="0" borderId="2" xfId="2" applyNumberFormat="1" applyFont="1" applyFill="1" applyBorder="1" applyAlignment="1">
      <alignment horizontal="right" vertical="center" wrapText="1"/>
    </xf>
    <xf numFmtId="166" fontId="12" fillId="0" borderId="3" xfId="2" applyNumberFormat="1" applyFont="1" applyFill="1" applyBorder="1" applyAlignment="1">
      <alignment horizontal="right" vertical="center" wrapText="1"/>
    </xf>
    <xf numFmtId="0" fontId="28" fillId="0" borderId="1" xfId="8" applyFont="1" applyFill="1" applyBorder="1" applyAlignment="1">
      <alignment horizontal="left" vertical="center" wrapText="1"/>
    </xf>
    <xf numFmtId="167" fontId="12" fillId="0" borderId="3" xfId="1" applyNumberFormat="1" applyFont="1" applyFill="1" applyBorder="1" applyAlignment="1">
      <alignment vertical="center" wrapText="1"/>
    </xf>
    <xf numFmtId="166" fontId="12" fillId="0" borderId="3" xfId="1" applyNumberFormat="1" applyFont="1" applyFill="1" applyBorder="1" applyAlignment="1">
      <alignment horizontal="right" vertical="center" wrapText="1"/>
    </xf>
    <xf numFmtId="166" fontId="12" fillId="0" borderId="18" xfId="1" applyNumberFormat="1" applyFont="1" applyFill="1" applyBorder="1" applyAlignment="1">
      <alignment horizontal="right" vertical="center" wrapText="1"/>
    </xf>
    <xf numFmtId="0" fontId="14" fillId="0" borderId="17" xfId="1" applyFont="1" applyFill="1" applyBorder="1"/>
    <xf numFmtId="0" fontId="28" fillId="0" borderId="2" xfId="8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top" wrapText="1"/>
    </xf>
    <xf numFmtId="0" fontId="3" fillId="0" borderId="3" xfId="1" applyFont="1" applyFill="1" applyBorder="1"/>
    <xf numFmtId="0" fontId="22" fillId="0" borderId="2" xfId="1" applyFont="1" applyFill="1" applyBorder="1" applyAlignment="1">
      <alignment wrapText="1"/>
    </xf>
    <xf numFmtId="165" fontId="17" fillId="0" borderId="3" xfId="2" applyNumberFormat="1" applyFont="1" applyFill="1" applyBorder="1" applyAlignment="1">
      <alignment horizontal="right" vertical="center" wrapText="1"/>
    </xf>
    <xf numFmtId="0" fontId="18" fillId="0" borderId="2" xfId="1" applyFont="1" applyFill="1" applyBorder="1" applyAlignment="1">
      <alignment wrapText="1"/>
    </xf>
    <xf numFmtId="165" fontId="7" fillId="0" borderId="3" xfId="2" applyNumberFormat="1" applyFont="1" applyFill="1" applyBorder="1" applyAlignment="1">
      <alignment horizontal="right" vertical="center" wrapText="1"/>
    </xf>
    <xf numFmtId="166" fontId="7" fillId="0" borderId="18" xfId="3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166" fontId="7" fillId="0" borderId="3" xfId="2" applyNumberFormat="1" applyFont="1" applyFill="1" applyBorder="1" applyAlignment="1">
      <alignment horizontal="right" vertical="center" wrapText="1"/>
    </xf>
    <xf numFmtId="166" fontId="7" fillId="0" borderId="18" xfId="2" applyNumberFormat="1" applyFont="1" applyFill="1" applyBorder="1" applyAlignment="1">
      <alignment horizontal="right" vertical="center" wrapText="1"/>
    </xf>
    <xf numFmtId="166" fontId="7" fillId="0" borderId="18" xfId="3" applyNumberFormat="1" applyFont="1" applyFill="1" applyBorder="1" applyAlignment="1">
      <alignment horizontal="right" vertical="center" wrapText="1"/>
    </xf>
    <xf numFmtId="173" fontId="29" fillId="0" borderId="2" xfId="9" applyNumberFormat="1" applyFont="1" applyFill="1" applyBorder="1" applyAlignment="1">
      <alignment horizontal="left" vertical="center" wrapText="1"/>
    </xf>
    <xf numFmtId="0" fontId="7" fillId="0" borderId="0" xfId="5" applyFont="1" applyFill="1" applyBorder="1"/>
    <xf numFmtId="168" fontId="7" fillId="0" borderId="3" xfId="2" applyNumberFormat="1" applyFont="1" applyFill="1" applyBorder="1" applyAlignment="1">
      <alignment horizontal="right" vertical="center" wrapText="1"/>
    </xf>
    <xf numFmtId="166" fontId="30" fillId="0" borderId="18" xfId="3" applyNumberFormat="1" applyFont="1" applyFill="1" applyBorder="1" applyAlignment="1">
      <alignment vertical="center" wrapText="1"/>
    </xf>
    <xf numFmtId="166" fontId="30" fillId="0" borderId="2" xfId="2" applyNumberFormat="1" applyFont="1" applyFill="1" applyBorder="1" applyAlignment="1">
      <alignment horizontal="right" vertical="center" wrapText="1"/>
    </xf>
    <xf numFmtId="166" fontId="30" fillId="0" borderId="1" xfId="2" applyNumberFormat="1" applyFont="1" applyFill="1" applyBorder="1" applyAlignment="1">
      <alignment horizontal="right" vertical="center" wrapText="1"/>
    </xf>
    <xf numFmtId="166" fontId="30" fillId="0" borderId="3" xfId="2" applyNumberFormat="1" applyFont="1" applyFill="1" applyBorder="1" applyAlignment="1">
      <alignment horizontal="right" vertical="center" wrapText="1"/>
    </xf>
    <xf numFmtId="166" fontId="30" fillId="0" borderId="18" xfId="2" applyNumberFormat="1" applyFont="1" applyFill="1" applyBorder="1" applyAlignment="1">
      <alignment horizontal="right" vertical="center" wrapText="1"/>
    </xf>
    <xf numFmtId="0" fontId="18" fillId="0" borderId="1" xfId="5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/>
    </xf>
    <xf numFmtId="167" fontId="19" fillId="0" borderId="2" xfId="1" applyNumberFormat="1" applyFont="1" applyFill="1" applyBorder="1" applyAlignment="1">
      <alignment horizontal="center" vertical="center" wrapText="1"/>
    </xf>
    <xf numFmtId="170" fontId="18" fillId="0" borderId="9" xfId="10" applyNumberFormat="1" applyFont="1" applyFill="1" applyBorder="1" applyAlignment="1">
      <alignment horizontal="right" vertical="center" wrapText="1"/>
    </xf>
    <xf numFmtId="166" fontId="18" fillId="0" borderId="9" xfId="2" applyNumberFormat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left" vertical="center"/>
    </xf>
    <xf numFmtId="0" fontId="7" fillId="0" borderId="1" xfId="11" applyFont="1" applyFill="1" applyBorder="1"/>
    <xf numFmtId="168" fontId="3" fillId="0" borderId="0" xfId="10" applyNumberFormat="1" applyFont="1" applyFill="1" applyBorder="1"/>
    <xf numFmtId="174" fontId="3" fillId="0" borderId="0" xfId="1" applyNumberFormat="1" applyFont="1" applyFill="1" applyBorder="1"/>
    <xf numFmtId="0" fontId="15" fillId="0" borderId="17" xfId="1" applyFont="1" applyFill="1" applyBorder="1"/>
    <xf numFmtId="0" fontId="7" fillId="0" borderId="1" xfId="5" applyFont="1" applyFill="1" applyBorder="1" applyAlignment="1">
      <alignment wrapText="1"/>
    </xf>
    <xf numFmtId="0" fontId="7" fillId="0" borderId="2" xfId="8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wrapText="1"/>
    </xf>
    <xf numFmtId="165" fontId="18" fillId="0" borderId="9" xfId="2" applyNumberFormat="1" applyFont="1" applyFill="1" applyBorder="1" applyAlignment="1">
      <alignment horizontal="right" vertical="center" wrapText="1"/>
    </xf>
    <xf numFmtId="175" fontId="18" fillId="0" borderId="3" xfId="2" applyNumberFormat="1" applyFont="1" applyFill="1" applyBorder="1" applyAlignment="1">
      <alignment horizontal="right" vertical="center" wrapText="1"/>
    </xf>
    <xf numFmtId="175" fontId="18" fillId="0" borderId="18" xfId="2" applyNumberFormat="1" applyFont="1" applyFill="1" applyBorder="1" applyAlignment="1">
      <alignment horizontal="right" vertical="center" wrapText="1"/>
    </xf>
    <xf numFmtId="0" fontId="27" fillId="0" borderId="2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vertical="top" wrapText="1"/>
    </xf>
    <xf numFmtId="49" fontId="12" fillId="0" borderId="21" xfId="1" applyNumberFormat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49" fontId="12" fillId="0" borderId="21" xfId="1" applyNumberFormat="1" applyFont="1" applyFill="1" applyBorder="1" applyAlignment="1">
      <alignment vertical="center" wrapText="1"/>
    </xf>
    <xf numFmtId="167" fontId="12" fillId="0" borderId="7" xfId="1" applyNumberFormat="1" applyFont="1" applyFill="1" applyBorder="1" applyAlignment="1">
      <alignment vertical="center" wrapText="1"/>
    </xf>
    <xf numFmtId="167" fontId="12" fillId="0" borderId="21" xfId="1" applyNumberFormat="1" applyFont="1" applyFill="1" applyBorder="1" applyAlignment="1">
      <alignment vertical="center" wrapText="1"/>
    </xf>
    <xf numFmtId="167" fontId="12" fillId="0" borderId="22" xfId="1" applyNumberFormat="1" applyFont="1" applyFill="1" applyBorder="1" applyAlignment="1">
      <alignment vertical="center" wrapText="1"/>
    </xf>
    <xf numFmtId="166" fontId="12" fillId="0" borderId="23" xfId="3" applyNumberFormat="1" applyFont="1" applyFill="1" applyBorder="1" applyAlignment="1">
      <alignment vertical="center" wrapText="1"/>
    </xf>
    <xf numFmtId="166" fontId="12" fillId="0" borderId="7" xfId="1" applyNumberFormat="1" applyFont="1" applyFill="1" applyBorder="1" applyAlignment="1">
      <alignment vertical="center" wrapText="1"/>
    </xf>
    <xf numFmtId="166" fontId="12" fillId="0" borderId="22" xfId="1" applyNumberFormat="1" applyFont="1" applyFill="1" applyBorder="1" applyAlignment="1">
      <alignment horizontal="right" vertical="center" wrapText="1"/>
    </xf>
    <xf numFmtId="166" fontId="12" fillId="0" borderId="23" xfId="1" applyNumberFormat="1" applyFont="1" applyFill="1" applyBorder="1" applyAlignment="1">
      <alignment horizontal="right" vertical="center" wrapText="1"/>
    </xf>
    <xf numFmtId="0" fontId="28" fillId="0" borderId="17" xfId="8" applyFont="1" applyFill="1" applyBorder="1" applyAlignment="1">
      <alignment horizontal="left" vertical="center" wrapText="1"/>
    </xf>
    <xf numFmtId="168" fontId="7" fillId="0" borderId="1" xfId="8" applyNumberFormat="1" applyFont="1" applyFill="1" applyBorder="1" applyAlignment="1">
      <alignment horizontal="left" vertical="center" wrapText="1"/>
    </xf>
    <xf numFmtId="0" fontId="28" fillId="0" borderId="3" xfId="8" applyFont="1" applyFill="1" applyBorder="1" applyAlignment="1">
      <alignment horizontal="left" vertical="center" wrapText="1"/>
    </xf>
    <xf numFmtId="166" fontId="7" fillId="0" borderId="2" xfId="8" applyNumberFormat="1" applyFont="1" applyFill="1" applyBorder="1" applyAlignment="1">
      <alignment horizontal="left" vertical="center" wrapText="1"/>
    </xf>
    <xf numFmtId="166" fontId="7" fillId="0" borderId="1" xfId="8" applyNumberFormat="1" applyFont="1" applyFill="1" applyBorder="1" applyAlignment="1">
      <alignment horizontal="left" vertical="center" wrapText="1"/>
    </xf>
    <xf numFmtId="166" fontId="7" fillId="0" borderId="3" xfId="8" applyNumberFormat="1" applyFont="1" applyFill="1" applyBorder="1" applyAlignment="1">
      <alignment horizontal="right" vertical="center" wrapText="1"/>
    </xf>
    <xf numFmtId="166" fontId="7" fillId="0" borderId="18" xfId="8" applyNumberFormat="1" applyFont="1" applyFill="1" applyBorder="1" applyAlignment="1">
      <alignment horizontal="right" vertical="center" wrapText="1"/>
    </xf>
    <xf numFmtId="0" fontId="28" fillId="0" borderId="0" xfId="8" applyFont="1" applyFill="1" applyBorder="1" applyAlignment="1">
      <alignment horizontal="left" vertical="center" wrapText="1"/>
    </xf>
    <xf numFmtId="0" fontId="3" fillId="0" borderId="24" xfId="1" applyFont="1" applyFill="1" applyBorder="1"/>
    <xf numFmtId="0" fontId="18" fillId="0" borderId="5" xfId="1" applyFont="1" applyFill="1" applyBorder="1" applyAlignment="1">
      <alignment vertical="top" wrapText="1"/>
    </xf>
    <xf numFmtId="49" fontId="18" fillId="0" borderId="4" xfId="1" applyNumberFormat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168" fontId="18" fillId="0" borderId="4" xfId="2" applyNumberFormat="1" applyFont="1" applyFill="1" applyBorder="1" applyAlignment="1">
      <alignment horizontal="right" vertical="center" wrapText="1"/>
    </xf>
    <xf numFmtId="164" fontId="12" fillId="0" borderId="4" xfId="2" applyFont="1" applyFill="1" applyBorder="1" applyAlignment="1">
      <alignment horizontal="right" vertical="center" wrapText="1"/>
    </xf>
    <xf numFmtId="165" fontId="12" fillId="0" borderId="8" xfId="2" applyNumberFormat="1" applyFont="1" applyFill="1" applyBorder="1" applyAlignment="1">
      <alignment horizontal="right" vertical="center" wrapText="1"/>
    </xf>
    <xf numFmtId="166" fontId="18" fillId="0" borderId="25" xfId="3" applyNumberFormat="1" applyFont="1" applyFill="1" applyBorder="1" applyAlignment="1">
      <alignment vertical="center" wrapText="1"/>
    </xf>
    <xf numFmtId="166" fontId="18" fillId="0" borderId="5" xfId="2" applyNumberFormat="1" applyFont="1" applyFill="1" applyBorder="1" applyAlignment="1">
      <alignment horizontal="right" vertical="center" wrapText="1"/>
    </xf>
    <xf numFmtId="166" fontId="18" fillId="0" borderId="4" xfId="2" applyNumberFormat="1" applyFont="1" applyFill="1" applyBorder="1" applyAlignment="1">
      <alignment horizontal="right" vertical="center" wrapText="1"/>
    </xf>
    <xf numFmtId="166" fontId="18" fillId="0" borderId="8" xfId="2" applyNumberFormat="1" applyFont="1" applyFill="1" applyBorder="1" applyAlignment="1">
      <alignment horizontal="right" vertical="center" wrapText="1"/>
    </xf>
    <xf numFmtId="166" fontId="18" fillId="0" borderId="25" xfId="2" applyNumberFormat="1" applyFont="1" applyFill="1" applyBorder="1" applyAlignment="1">
      <alignment horizontal="right" vertical="center" wrapText="1"/>
    </xf>
    <xf numFmtId="49" fontId="7" fillId="0" borderId="1" xfId="12" applyNumberFormat="1" applyFont="1" applyFill="1" applyBorder="1" applyAlignment="1">
      <alignment horizontal="center" vertical="center" wrapText="1"/>
    </xf>
    <xf numFmtId="175" fontId="18" fillId="0" borderId="18" xfId="3" applyNumberFormat="1" applyFont="1" applyFill="1" applyBorder="1" applyAlignment="1">
      <alignment vertical="center" wrapText="1"/>
    </xf>
    <xf numFmtId="175" fontId="18" fillId="0" borderId="2" xfId="2" applyNumberFormat="1" applyFont="1" applyFill="1" applyBorder="1" applyAlignment="1">
      <alignment horizontal="right" vertical="center" wrapText="1"/>
    </xf>
    <xf numFmtId="175" fontId="18" fillId="0" borderId="1" xfId="2" applyNumberFormat="1" applyFont="1" applyFill="1" applyBorder="1" applyAlignment="1">
      <alignment horizontal="right" vertical="center" wrapText="1"/>
    </xf>
    <xf numFmtId="168" fontId="12" fillId="0" borderId="3" xfId="2" applyNumberFormat="1" applyFont="1" applyFill="1" applyBorder="1" applyAlignment="1">
      <alignment vertical="center" wrapText="1"/>
    </xf>
    <xf numFmtId="166" fontId="18" fillId="0" borderId="2" xfId="1" applyNumberFormat="1" applyFont="1" applyFill="1" applyBorder="1" applyAlignment="1">
      <alignment vertical="center" wrapText="1"/>
    </xf>
    <xf numFmtId="166" fontId="18" fillId="0" borderId="3" xfId="1" applyNumberFormat="1" applyFont="1" applyFill="1" applyBorder="1" applyAlignment="1">
      <alignment horizontal="right" vertical="center" wrapText="1"/>
    </xf>
    <xf numFmtId="166" fontId="18" fillId="0" borderId="18" xfId="1" applyNumberFormat="1" applyFont="1" applyFill="1" applyBorder="1" applyAlignment="1">
      <alignment horizontal="right" vertical="center" wrapText="1"/>
    </xf>
    <xf numFmtId="166" fontId="18" fillId="0" borderId="3" xfId="13" applyNumberFormat="1" applyFont="1" applyFill="1" applyBorder="1" applyAlignment="1">
      <alignment horizontal="right" vertical="center" wrapText="1"/>
    </xf>
    <xf numFmtId="166" fontId="18" fillId="0" borderId="18" xfId="13" applyNumberFormat="1" applyFont="1" applyFill="1" applyBorder="1" applyAlignment="1">
      <alignment horizontal="right" vertical="center" wrapText="1"/>
    </xf>
    <xf numFmtId="168" fontId="12" fillId="0" borderId="3" xfId="2" applyNumberFormat="1" applyFont="1" applyFill="1" applyBorder="1" applyAlignment="1">
      <alignment horizontal="right" vertical="center" wrapText="1"/>
    </xf>
    <xf numFmtId="0" fontId="7" fillId="0" borderId="0" xfId="5" applyFont="1" applyFill="1" applyBorder="1" applyAlignment="1">
      <alignment vertical="top" wrapText="1"/>
    </xf>
    <xf numFmtId="0" fontId="17" fillId="0" borderId="1" xfId="5" applyFont="1" applyFill="1" applyBorder="1" applyAlignment="1">
      <alignment horizontal="left" vertical="center" wrapText="1"/>
    </xf>
    <xf numFmtId="173" fontId="7" fillId="0" borderId="1" xfId="9" applyNumberFormat="1" applyFont="1" applyFill="1" applyBorder="1" applyAlignment="1">
      <alignment horizontal="left" vertical="center" wrapText="1" indent="2"/>
    </xf>
    <xf numFmtId="175" fontId="7" fillId="0" borderId="18" xfId="3" applyNumberFormat="1" applyFont="1" applyFill="1" applyBorder="1" applyAlignment="1">
      <alignment horizontal="right" vertical="center" wrapText="1" indent="1"/>
    </xf>
    <xf numFmtId="0" fontId="28" fillId="0" borderId="2" xfId="11" applyFont="1" applyFill="1" applyBorder="1" applyAlignment="1">
      <alignment horizontal="left" vertical="center" wrapText="1"/>
    </xf>
    <xf numFmtId="0" fontId="7" fillId="0" borderId="2" xfId="8" applyFont="1" applyFill="1" applyBorder="1" applyAlignment="1">
      <alignment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166" fontId="12" fillId="0" borderId="3" xfId="5" applyNumberFormat="1" applyFont="1" applyFill="1" applyBorder="1" applyAlignment="1">
      <alignment horizontal="right" vertical="center" wrapText="1"/>
    </xf>
    <xf numFmtId="166" fontId="12" fillId="0" borderId="18" xfId="5" applyNumberFormat="1" applyFont="1" applyFill="1" applyBorder="1" applyAlignment="1">
      <alignment horizontal="right" vertical="center" wrapText="1"/>
    </xf>
    <xf numFmtId="0" fontId="32" fillId="0" borderId="1" xfId="8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33" fillId="0" borderId="1" xfId="5" applyNumberFormat="1" applyFont="1" applyFill="1" applyBorder="1" applyAlignment="1">
      <alignment horizontal="center" vertical="center" wrapText="1"/>
    </xf>
    <xf numFmtId="166" fontId="18" fillId="0" borderId="3" xfId="5" applyNumberFormat="1" applyFont="1" applyFill="1" applyBorder="1" applyAlignment="1">
      <alignment horizontal="right" vertical="center" wrapText="1"/>
    </xf>
    <xf numFmtId="166" fontId="18" fillId="0" borderId="18" xfId="5" applyNumberFormat="1" applyFont="1" applyFill="1" applyBorder="1" applyAlignment="1">
      <alignment horizontal="right" vertical="center" wrapText="1"/>
    </xf>
    <xf numFmtId="49" fontId="22" fillId="0" borderId="1" xfId="5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left" vertical="center" wrapText="1"/>
    </xf>
    <xf numFmtId="49" fontId="18" fillId="0" borderId="1" xfId="5" applyNumberFormat="1" applyFont="1" applyFill="1" applyBorder="1" applyAlignment="1">
      <alignment horizontal="center" vertical="center" wrapText="1"/>
    </xf>
    <xf numFmtId="0" fontId="29" fillId="0" borderId="1" xfId="5" applyFont="1" applyFill="1" applyBorder="1" applyAlignment="1">
      <alignment horizontal="left" vertical="center" wrapText="1"/>
    </xf>
    <xf numFmtId="49" fontId="34" fillId="0" borderId="1" xfId="5" applyNumberFormat="1" applyFont="1" applyFill="1" applyBorder="1" applyAlignment="1">
      <alignment horizontal="center" vertical="center" wrapText="1"/>
    </xf>
    <xf numFmtId="173" fontId="35" fillId="0" borderId="1" xfId="9" applyNumberFormat="1" applyFont="1" applyFill="1" applyBorder="1" applyAlignment="1">
      <alignment horizontal="left" vertical="center" wrapText="1"/>
    </xf>
    <xf numFmtId="49" fontId="18" fillId="0" borderId="21" xfId="1" applyNumberFormat="1" applyFont="1" applyFill="1" applyBorder="1" applyAlignment="1">
      <alignment horizontal="center" vertical="center" wrapText="1"/>
    </xf>
    <xf numFmtId="49" fontId="18" fillId="0" borderId="21" xfId="5" applyNumberFormat="1" applyFont="1" applyFill="1" applyBorder="1" applyAlignment="1">
      <alignment horizontal="center" vertical="center" wrapText="1"/>
    </xf>
    <xf numFmtId="49" fontId="34" fillId="0" borderId="21" xfId="5" applyNumberFormat="1" applyFont="1" applyFill="1" applyBorder="1" applyAlignment="1">
      <alignment horizontal="center" vertical="center" wrapText="1"/>
    </xf>
    <xf numFmtId="0" fontId="27" fillId="0" borderId="26" xfId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left" vertical="center" wrapText="1"/>
    </xf>
    <xf numFmtId="49" fontId="14" fillId="0" borderId="21" xfId="5" applyNumberFormat="1" applyFont="1" applyFill="1" applyBorder="1" applyAlignment="1">
      <alignment horizontal="center" vertical="center" wrapText="1"/>
    </xf>
    <xf numFmtId="168" fontId="18" fillId="0" borderId="2" xfId="2" applyNumberFormat="1" applyFont="1" applyFill="1" applyBorder="1" applyAlignment="1">
      <alignment horizontal="right" vertical="center" wrapText="1"/>
    </xf>
    <xf numFmtId="0" fontId="3" fillId="0" borderId="26" xfId="1" applyFont="1" applyFill="1" applyBorder="1"/>
    <xf numFmtId="173" fontId="36" fillId="0" borderId="21" xfId="9" applyNumberFormat="1" applyFont="1" applyFill="1" applyBorder="1" applyAlignment="1">
      <alignment vertical="center" wrapText="1"/>
    </xf>
    <xf numFmtId="173" fontId="37" fillId="0" borderId="21" xfId="9" applyNumberFormat="1" applyFont="1" applyFill="1" applyBorder="1" applyAlignment="1">
      <alignment vertical="center" wrapText="1"/>
    </xf>
    <xf numFmtId="173" fontId="37" fillId="0" borderId="1" xfId="9" applyNumberFormat="1" applyFont="1" applyFill="1" applyBorder="1" applyAlignment="1">
      <alignment horizontal="left" vertical="center" wrapText="1"/>
    </xf>
    <xf numFmtId="173" fontId="37" fillId="0" borderId="1" xfId="9" applyNumberFormat="1" applyFont="1" applyFill="1" applyBorder="1" applyAlignment="1">
      <alignment horizontal="left" vertical="center" wrapText="1" indent="2"/>
    </xf>
    <xf numFmtId="0" fontId="17" fillId="0" borderId="1" xfId="5" applyFont="1" applyFill="1" applyBorder="1"/>
    <xf numFmtId="49" fontId="27" fillId="0" borderId="1" xfId="9" applyNumberFormat="1" applyFont="1" applyFill="1" applyBorder="1" applyAlignment="1">
      <alignment horizontal="center" vertical="center" wrapText="1"/>
    </xf>
    <xf numFmtId="0" fontId="38" fillId="0" borderId="1" xfId="5" applyFont="1" applyFill="1" applyBorder="1" applyAlignment="1">
      <alignment horizontal="left" vertical="center" wrapText="1"/>
    </xf>
    <xf numFmtId="49" fontId="36" fillId="0" borderId="1" xfId="9" applyNumberFormat="1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1" xfId="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5" xfId="5" applyFont="1" applyFill="1" applyBorder="1"/>
    <xf numFmtId="0" fontId="7" fillId="0" borderId="2" xfId="5" applyFont="1" applyFill="1" applyBorder="1"/>
    <xf numFmtId="0" fontId="18" fillId="0" borderId="2" xfId="1" applyFont="1" applyFill="1" applyBorder="1" applyAlignment="1">
      <alignment horizontal="center" vertical="center" wrapText="1"/>
    </xf>
    <xf numFmtId="0" fontId="3" fillId="0" borderId="8" xfId="1" applyFont="1" applyFill="1" applyBorder="1"/>
    <xf numFmtId="175" fontId="12" fillId="0" borderId="19" xfId="2" applyNumberFormat="1" applyFont="1" applyFill="1" applyBorder="1" applyAlignment="1">
      <alignment horizontal="right" vertical="center" wrapText="1"/>
    </xf>
    <xf numFmtId="175" fontId="12" fillId="0" borderId="18" xfId="2" applyNumberFormat="1" applyFont="1" applyFill="1" applyBorder="1" applyAlignment="1">
      <alignment horizontal="right" vertical="center" wrapText="1"/>
    </xf>
    <xf numFmtId="175" fontId="18" fillId="0" borderId="19" xfId="2" applyNumberFormat="1" applyFont="1" applyFill="1" applyBorder="1" applyAlignment="1">
      <alignment horizontal="right" vertical="center" wrapText="1"/>
    </xf>
    <xf numFmtId="49" fontId="40" fillId="0" borderId="21" xfId="5" applyNumberFormat="1" applyFont="1" applyFill="1" applyBorder="1" applyAlignment="1">
      <alignment horizontal="center" vertical="center" wrapText="1"/>
    </xf>
    <xf numFmtId="49" fontId="40" fillId="0" borderId="21" xfId="1" applyNumberFormat="1" applyFont="1" applyFill="1" applyBorder="1" applyAlignment="1">
      <alignment horizontal="center" vertical="center" wrapText="1"/>
    </xf>
    <xf numFmtId="0" fontId="22" fillId="0" borderId="21" xfId="5" applyFont="1" applyFill="1" applyBorder="1" applyAlignment="1">
      <alignment horizontal="left"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167" fontId="12" fillId="0" borderId="1" xfId="2" applyNumberFormat="1" applyFont="1" applyFill="1" applyBorder="1" applyAlignment="1" applyProtection="1">
      <alignment horizontal="right" vertical="center" wrapText="1"/>
      <protection locked="0"/>
    </xf>
    <xf numFmtId="166" fontId="12" fillId="0" borderId="18" xfId="3" applyNumberFormat="1" applyFont="1" applyFill="1" applyBorder="1" applyAlignment="1" applyProtection="1">
      <alignment vertical="center" wrapText="1"/>
      <protection locked="0"/>
    </xf>
    <xf numFmtId="166" fontId="12" fillId="0" borderId="2" xfId="2" applyNumberFormat="1" applyFont="1" applyFill="1" applyBorder="1" applyAlignment="1" applyProtection="1">
      <alignment horizontal="right" vertical="center" wrapText="1"/>
      <protection locked="0"/>
    </xf>
    <xf numFmtId="166" fontId="12" fillId="0" borderId="1" xfId="2" applyNumberFormat="1" applyFont="1" applyFill="1" applyBorder="1" applyAlignment="1" applyProtection="1">
      <alignment horizontal="right" vertical="center" wrapText="1"/>
      <protection locked="0"/>
    </xf>
    <xf numFmtId="166" fontId="12" fillId="0" borderId="19" xfId="2" applyNumberFormat="1" applyFont="1" applyFill="1" applyBorder="1" applyAlignment="1" applyProtection="1">
      <alignment horizontal="right" vertical="center" wrapText="1"/>
      <protection locked="0"/>
    </xf>
    <xf numFmtId="166" fontId="12" fillId="0" borderId="18" xfId="2" applyNumberFormat="1" applyFont="1" applyFill="1" applyBorder="1" applyAlignment="1" applyProtection="1">
      <alignment horizontal="right" vertical="center" wrapText="1"/>
      <protection locked="0"/>
    </xf>
    <xf numFmtId="167" fontId="17" fillId="0" borderId="1" xfId="2" applyNumberFormat="1" applyFont="1" applyFill="1" applyBorder="1" applyAlignment="1">
      <alignment horizontal="right" vertical="center" wrapText="1"/>
    </xf>
    <xf numFmtId="173" fontId="41" fillId="0" borderId="1" xfId="9" applyNumberFormat="1" applyFont="1" applyFill="1" applyBorder="1" applyAlignment="1">
      <alignment horizontal="left" vertical="center" wrapText="1"/>
    </xf>
    <xf numFmtId="173" fontId="41" fillId="0" borderId="1" xfId="9" applyNumberFormat="1" applyFont="1" applyFill="1" applyBorder="1" applyAlignment="1">
      <alignment horizontal="left" vertical="center" wrapText="1" indent="2"/>
    </xf>
    <xf numFmtId="166" fontId="7" fillId="0" borderId="3" xfId="10" applyNumberFormat="1" applyFont="1" applyFill="1" applyBorder="1" applyAlignment="1">
      <alignment horizontal="right" vertical="center" wrapText="1"/>
    </xf>
    <xf numFmtId="166" fontId="7" fillId="0" borderId="18" xfId="10" applyNumberFormat="1" applyFont="1" applyFill="1" applyBorder="1" applyAlignment="1">
      <alignment horizontal="right" vertical="center" wrapText="1"/>
    </xf>
    <xf numFmtId="167" fontId="7" fillId="0" borderId="1" xfId="2" applyNumberFormat="1" applyFont="1" applyFill="1" applyBorder="1" applyAlignment="1">
      <alignment horizontal="right" vertical="center" wrapText="1"/>
    </xf>
    <xf numFmtId="165" fontId="40" fillId="0" borderId="3" xfId="1" applyNumberFormat="1" applyFont="1" applyFill="1" applyBorder="1" applyAlignment="1">
      <alignment vertical="center"/>
    </xf>
    <xf numFmtId="173" fontId="29" fillId="0" borderId="1" xfId="14" applyNumberFormat="1" applyFont="1" applyFill="1" applyBorder="1" applyAlignment="1" applyProtection="1">
      <alignment horizontal="left" vertical="center" wrapText="1"/>
    </xf>
    <xf numFmtId="0" fontId="7" fillId="0" borderId="0" xfId="5" applyFont="1" applyFill="1" applyBorder="1" applyAlignment="1">
      <alignment wrapText="1"/>
    </xf>
    <xf numFmtId="168" fontId="3" fillId="0" borderId="3" xfId="2" applyNumberFormat="1" applyFont="1" applyFill="1" applyBorder="1" applyAlignment="1">
      <alignment vertical="center"/>
    </xf>
    <xf numFmtId="173" fontId="7" fillId="0" borderId="1" xfId="14" applyNumberFormat="1" applyFont="1" applyFill="1" applyBorder="1" applyAlignment="1" applyProtection="1">
      <alignment horizontal="left" vertical="center" wrapText="1"/>
    </xf>
    <xf numFmtId="168" fontId="7" fillId="0" borderId="1" xfId="2" applyNumberFormat="1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73" fontId="7" fillId="0" borderId="21" xfId="9" applyNumberFormat="1" applyFont="1" applyFill="1" applyBorder="1" applyAlignment="1">
      <alignment vertical="center" wrapText="1"/>
    </xf>
    <xf numFmtId="175" fontId="7" fillId="0" borderId="3" xfId="2" applyNumberFormat="1" applyFont="1" applyFill="1" applyBorder="1" applyAlignment="1">
      <alignment horizontal="right" vertical="center" wrapText="1"/>
    </xf>
    <xf numFmtId="175" fontId="7" fillId="0" borderId="18" xfId="2" applyNumberFormat="1" applyFont="1" applyFill="1" applyBorder="1" applyAlignment="1">
      <alignment horizontal="right" vertical="center" wrapText="1"/>
    </xf>
    <xf numFmtId="175" fontId="12" fillId="0" borderId="3" xfId="2" applyNumberFormat="1" applyFont="1" applyFill="1" applyBorder="1" applyAlignment="1">
      <alignment horizontal="right" vertical="center" wrapText="1"/>
    </xf>
    <xf numFmtId="0" fontId="7" fillId="0" borderId="1" xfId="8" applyNumberFormat="1" applyFont="1" applyFill="1" applyBorder="1" applyAlignment="1" applyProtection="1">
      <alignment horizontal="left" vertical="center" wrapText="1"/>
    </xf>
    <xf numFmtId="171" fontId="7" fillId="0" borderId="1" xfId="8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 wrapText="1" shrinkToFit="1"/>
    </xf>
    <xf numFmtId="171" fontId="7" fillId="0" borderId="2" xfId="1" applyNumberFormat="1" applyFont="1" applyFill="1" applyBorder="1" applyAlignment="1" applyProtection="1">
      <alignment horizontal="left" vertical="center" wrapText="1"/>
    </xf>
    <xf numFmtId="175" fontId="17" fillId="0" borderId="3" xfId="2" applyNumberFormat="1" applyFont="1" applyFill="1" applyBorder="1" applyAlignment="1">
      <alignment horizontal="right" vertical="center" wrapText="1"/>
    </xf>
    <xf numFmtId="175" fontId="17" fillId="0" borderId="18" xfId="2" applyNumberFormat="1" applyFont="1" applyFill="1" applyBorder="1" applyAlignment="1">
      <alignment horizontal="right" vertical="center" wrapText="1"/>
    </xf>
    <xf numFmtId="0" fontId="7" fillId="0" borderId="2" xfId="1" applyNumberFormat="1" applyFont="1" applyFill="1" applyBorder="1" applyAlignment="1">
      <alignment horizontal="left" vertical="center" wrapText="1" shrinkToFit="1"/>
    </xf>
    <xf numFmtId="166" fontId="42" fillId="0" borderId="18" xfId="3" applyNumberFormat="1" applyFont="1" applyFill="1" applyBorder="1" applyAlignment="1">
      <alignment vertical="center" wrapText="1"/>
    </xf>
    <xf numFmtId="166" fontId="42" fillId="0" borderId="2" xfId="2" applyNumberFormat="1" applyFont="1" applyFill="1" applyBorder="1" applyAlignment="1">
      <alignment horizontal="right" vertical="center" wrapText="1"/>
    </xf>
    <xf numFmtId="166" fontId="42" fillId="0" borderId="1" xfId="2" applyNumberFormat="1" applyFont="1" applyFill="1" applyBorder="1" applyAlignment="1">
      <alignment horizontal="right" vertical="center" wrapText="1"/>
    </xf>
    <xf numFmtId="166" fontId="42" fillId="0" borderId="3" xfId="2" applyNumberFormat="1" applyFont="1" applyFill="1" applyBorder="1" applyAlignment="1">
      <alignment horizontal="right" vertical="center" wrapText="1"/>
    </xf>
    <xf numFmtId="166" fontId="42" fillId="0" borderId="18" xfId="2" applyNumberFormat="1" applyFont="1" applyFill="1" applyBorder="1" applyAlignment="1">
      <alignment horizontal="right" vertical="center" wrapText="1"/>
    </xf>
    <xf numFmtId="0" fontId="3" fillId="0" borderId="17" xfId="1" applyFont="1" applyFill="1" applyBorder="1" applyAlignment="1">
      <alignment horizontal="left" vertical="center"/>
    </xf>
    <xf numFmtId="165" fontId="7" fillId="0" borderId="1" xfId="2" applyNumberFormat="1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>
      <alignment horizontal="left" vertical="center" wrapText="1"/>
    </xf>
    <xf numFmtId="166" fontId="7" fillId="0" borderId="2" xfId="2" applyNumberFormat="1" applyFont="1" applyFill="1" applyBorder="1" applyAlignment="1">
      <alignment horizontal="left" vertical="center" wrapText="1"/>
    </xf>
    <xf numFmtId="166" fontId="7" fillId="0" borderId="1" xfId="2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166" fontId="7" fillId="0" borderId="18" xfId="3" applyNumberFormat="1" applyFont="1" applyFill="1" applyBorder="1" applyAlignment="1"/>
    <xf numFmtId="166" fontId="7" fillId="0" borderId="3" xfId="1" applyNumberFormat="1" applyFont="1" applyFill="1" applyBorder="1" applyAlignment="1">
      <alignment horizontal="right"/>
    </xf>
    <xf numFmtId="166" fontId="7" fillId="0" borderId="18" xfId="1" applyNumberFormat="1" applyFont="1" applyFill="1" applyBorder="1" applyAlignment="1">
      <alignment horizontal="right"/>
    </xf>
    <xf numFmtId="49" fontId="7" fillId="0" borderId="18" xfId="9" applyNumberFormat="1" applyFont="1" applyFill="1" applyBorder="1" applyAlignment="1">
      <alignment vertical="center" wrapText="1"/>
    </xf>
    <xf numFmtId="173" fontId="7" fillId="0" borderId="1" xfId="9" applyNumberFormat="1" applyFont="1" applyFill="1" applyBorder="1" applyAlignment="1">
      <alignment vertical="center" wrapText="1"/>
    </xf>
    <xf numFmtId="165" fontId="26" fillId="0" borderId="1" xfId="9" applyNumberFormat="1" applyFont="1" applyFill="1" applyBorder="1" applyAlignment="1">
      <alignment horizontal="left" vertical="center" wrapText="1"/>
    </xf>
    <xf numFmtId="173" fontId="29" fillId="0" borderId="1" xfId="9" applyNumberFormat="1" applyFont="1" applyFill="1" applyBorder="1" applyAlignment="1">
      <alignment vertical="center" wrapText="1"/>
    </xf>
    <xf numFmtId="175" fontId="18" fillId="0" borderId="3" xfId="1" applyNumberFormat="1" applyFont="1" applyFill="1" applyBorder="1" applyAlignment="1">
      <alignment horizontal="right" vertical="center" wrapText="1"/>
    </xf>
    <xf numFmtId="175" fontId="18" fillId="0" borderId="18" xfId="1" applyNumberFormat="1" applyFont="1" applyFill="1" applyBorder="1" applyAlignment="1">
      <alignment horizontal="right" vertical="center" wrapText="1"/>
    </xf>
    <xf numFmtId="173" fontId="29" fillId="0" borderId="1" xfId="9" applyNumberFormat="1" applyFont="1" applyFill="1" applyBorder="1" applyAlignment="1">
      <alignment horizontal="left" vertical="center" wrapText="1" indent="2"/>
    </xf>
    <xf numFmtId="168" fontId="18" fillId="0" borderId="0" xfId="2" applyNumberFormat="1" applyFont="1" applyFill="1" applyBorder="1" applyAlignment="1">
      <alignment horizontal="right" vertical="center" wrapText="1"/>
    </xf>
    <xf numFmtId="166" fontId="18" fillId="0" borderId="6" xfId="1" applyNumberFormat="1" applyFont="1" applyFill="1" applyBorder="1" applyAlignment="1">
      <alignment horizontal="right" vertical="center" wrapText="1"/>
    </xf>
    <xf numFmtId="166" fontId="18" fillId="0" borderId="25" xfId="1" applyNumberFormat="1" applyFont="1" applyFill="1" applyBorder="1" applyAlignment="1">
      <alignment horizontal="right" vertical="center" wrapText="1"/>
    </xf>
    <xf numFmtId="0" fontId="18" fillId="0" borderId="1" xfId="5" applyFont="1" applyFill="1" applyBorder="1" applyAlignment="1">
      <alignment horizontal="justify" vertical="top" wrapText="1"/>
    </xf>
    <xf numFmtId="49" fontId="18" fillId="0" borderId="2" xfId="1" applyNumberFormat="1" applyFont="1" applyFill="1" applyBorder="1" applyAlignment="1">
      <alignment horizontal="center" vertical="center" wrapText="1"/>
    </xf>
    <xf numFmtId="165" fontId="18" fillId="0" borderId="0" xfId="2" applyNumberFormat="1" applyFont="1" applyFill="1" applyBorder="1" applyAlignment="1">
      <alignment horizontal="right" vertical="center" wrapText="1"/>
    </xf>
    <xf numFmtId="166" fontId="18" fillId="0" borderId="0" xfId="2" applyNumberFormat="1" applyFont="1" applyFill="1" applyBorder="1" applyAlignment="1">
      <alignment horizontal="right" vertical="center" wrapText="1"/>
    </xf>
    <xf numFmtId="173" fontId="7" fillId="0" borderId="17" xfId="9" applyNumberFormat="1" applyFont="1" applyFill="1" applyBorder="1" applyAlignment="1">
      <alignment horizontal="left" vertical="center" wrapText="1"/>
    </xf>
    <xf numFmtId="173" fontId="7" fillId="0" borderId="2" xfId="9" applyNumberFormat="1" applyFont="1" applyFill="1" applyBorder="1" applyAlignment="1">
      <alignment vertical="center" wrapText="1"/>
    </xf>
    <xf numFmtId="0" fontId="43" fillId="0" borderId="17" xfId="9" applyFont="1" applyFill="1" applyBorder="1" applyAlignment="1">
      <alignment horizontal="center" vertical="center"/>
    </xf>
    <xf numFmtId="49" fontId="29" fillId="0" borderId="1" xfId="9" applyNumberFormat="1" applyFont="1" applyFill="1" applyBorder="1" applyAlignment="1">
      <alignment horizontal="center" vertical="center" wrapText="1"/>
    </xf>
    <xf numFmtId="170" fontId="29" fillId="0" borderId="1" xfId="9" applyNumberFormat="1" applyFont="1" applyFill="1" applyBorder="1" applyAlignment="1">
      <alignment horizontal="right" vertical="center" wrapText="1"/>
    </xf>
    <xf numFmtId="167" fontId="41" fillId="0" borderId="2" xfId="9" applyNumberFormat="1" applyFont="1" applyFill="1" applyBorder="1" applyAlignment="1">
      <alignment horizontal="right" vertical="center" wrapText="1"/>
    </xf>
    <xf numFmtId="167" fontId="41" fillId="0" borderId="19" xfId="9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/>
    <xf numFmtId="166" fontId="7" fillId="0" borderId="3" xfId="10" applyNumberFormat="1" applyFont="1" applyFill="1" applyBorder="1" applyAlignment="1">
      <alignment horizontal="right"/>
    </xf>
    <xf numFmtId="166" fontId="7" fillId="0" borderId="18" xfId="10" applyNumberFormat="1" applyFont="1" applyFill="1" applyBorder="1" applyAlignment="1">
      <alignment horizontal="right"/>
    </xf>
    <xf numFmtId="0" fontId="43" fillId="0" borderId="26" xfId="9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left" vertical="center" wrapText="1"/>
    </xf>
    <xf numFmtId="49" fontId="18" fillId="0" borderId="1" xfId="2" applyNumberFormat="1" applyFont="1" applyFill="1" applyBorder="1" applyAlignment="1">
      <alignment horizontal="right" vertical="center" wrapText="1"/>
    </xf>
    <xf numFmtId="49" fontId="19" fillId="0" borderId="22" xfId="1" applyNumberFormat="1" applyFont="1" applyFill="1" applyBorder="1" applyAlignment="1">
      <alignment horizontal="center" vertical="center" wrapText="1"/>
    </xf>
    <xf numFmtId="0" fontId="3" fillId="0" borderId="22" xfId="1" applyFont="1" applyFill="1" applyBorder="1"/>
    <xf numFmtId="166" fontId="14" fillId="0" borderId="27" xfId="3" applyNumberFormat="1" applyFont="1" applyFill="1" applyBorder="1" applyAlignment="1"/>
    <xf numFmtId="166" fontId="14" fillId="0" borderId="0" xfId="1" applyNumberFormat="1" applyFont="1" applyFill="1" applyBorder="1"/>
    <xf numFmtId="166" fontId="14" fillId="0" borderId="0" xfId="1" applyNumberFormat="1" applyFont="1" applyFill="1" applyBorder="1" applyAlignment="1">
      <alignment horizontal="right"/>
    </xf>
    <xf numFmtId="166" fontId="14" fillId="0" borderId="27" xfId="1" applyNumberFormat="1" applyFont="1" applyFill="1" applyBorder="1" applyAlignment="1">
      <alignment horizontal="right"/>
    </xf>
    <xf numFmtId="166" fontId="3" fillId="0" borderId="27" xfId="3" applyNumberFormat="1" applyFont="1" applyFill="1" applyBorder="1" applyAlignment="1"/>
    <xf numFmtId="166" fontId="3" fillId="0" borderId="0" xfId="1" applyNumberFormat="1" applyFont="1" applyFill="1" applyBorder="1" applyAlignment="1">
      <alignment horizontal="right"/>
    </xf>
    <xf numFmtId="166" fontId="3" fillId="0" borderId="27" xfId="1" applyNumberFormat="1" applyFont="1" applyFill="1" applyBorder="1" applyAlignment="1">
      <alignment horizontal="right"/>
    </xf>
    <xf numFmtId="49" fontId="7" fillId="0" borderId="2" xfId="1" applyNumberFormat="1" applyFont="1" applyFill="1" applyBorder="1" applyAlignment="1">
      <alignment horizontal="right" vertical="center" wrapText="1"/>
    </xf>
    <xf numFmtId="167" fontId="7" fillId="0" borderId="9" xfId="1" applyNumberFormat="1" applyFont="1" applyFill="1" applyBorder="1" applyAlignment="1">
      <alignment horizontal="right" vertical="center" wrapText="1"/>
    </xf>
    <xf numFmtId="166" fontId="7" fillId="0" borderId="9" xfId="1" applyNumberFormat="1" applyFont="1" applyFill="1" applyBorder="1" applyAlignment="1">
      <alignment horizontal="right" vertical="center" wrapText="1"/>
    </xf>
    <xf numFmtId="166" fontId="7" fillId="0" borderId="18" xfId="1" applyNumberFormat="1" applyFont="1" applyFill="1" applyBorder="1" applyAlignment="1">
      <alignment horizontal="right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166" fontId="7" fillId="0" borderId="18" xfId="3" applyNumberFormat="1" applyFont="1" applyFill="1" applyBorder="1" applyAlignment="1">
      <alignment horizontal="left" vertical="center" wrapText="1" indent="1"/>
    </xf>
    <xf numFmtId="0" fontId="36" fillId="0" borderId="17" xfId="1" applyFont="1" applyFill="1" applyBorder="1"/>
    <xf numFmtId="49" fontId="45" fillId="0" borderId="2" xfId="1" applyNumberFormat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right" vertical="center" wrapText="1"/>
    </xf>
    <xf numFmtId="167" fontId="45" fillId="0" borderId="1" xfId="1" applyNumberFormat="1" applyFont="1" applyFill="1" applyBorder="1" applyAlignment="1">
      <alignment horizontal="center" vertical="center" wrapText="1"/>
    </xf>
    <xf numFmtId="167" fontId="28" fillId="0" borderId="1" xfId="1" applyNumberFormat="1" applyFont="1" applyFill="1" applyBorder="1"/>
    <xf numFmtId="167" fontId="28" fillId="0" borderId="9" xfId="1" applyNumberFormat="1" applyFont="1" applyFill="1" applyBorder="1" applyAlignment="1">
      <alignment horizontal="right" vertical="center" wrapText="1"/>
    </xf>
    <xf numFmtId="166" fontId="28" fillId="0" borderId="2" xfId="1" applyNumberFormat="1" applyFont="1" applyFill="1" applyBorder="1" applyAlignment="1">
      <alignment horizontal="right" vertical="center" wrapText="1"/>
    </xf>
    <xf numFmtId="166" fontId="28" fillId="0" borderId="9" xfId="1" applyNumberFormat="1" applyFont="1" applyFill="1" applyBorder="1" applyAlignment="1">
      <alignment horizontal="right" vertical="center" wrapText="1"/>
    </xf>
    <xf numFmtId="166" fontId="28" fillId="0" borderId="18" xfId="1" applyNumberFormat="1" applyFont="1" applyFill="1" applyBorder="1" applyAlignment="1">
      <alignment horizontal="right" vertical="center" wrapText="1"/>
    </xf>
    <xf numFmtId="0" fontId="36" fillId="0" borderId="0" xfId="1" applyFont="1" applyFill="1" applyBorder="1"/>
    <xf numFmtId="0" fontId="36" fillId="0" borderId="0" xfId="1" applyFont="1" applyFill="1"/>
    <xf numFmtId="173" fontId="7" fillId="0" borderId="22" xfId="9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73" fontId="7" fillId="0" borderId="1" xfId="9" applyNumberFormat="1" applyFont="1" applyFill="1" applyBorder="1" applyAlignment="1">
      <alignment horizontal="left" vertical="center" wrapText="1"/>
    </xf>
    <xf numFmtId="166" fontId="17" fillId="0" borderId="2" xfId="1" applyNumberFormat="1" applyFont="1" applyFill="1" applyBorder="1" applyAlignment="1">
      <alignment horizontal="right" vertical="center" wrapText="1"/>
    </xf>
    <xf numFmtId="166" fontId="17" fillId="0" borderId="9" xfId="1" applyNumberFormat="1" applyFont="1" applyFill="1" applyBorder="1" applyAlignment="1">
      <alignment horizontal="right" vertical="center" wrapText="1"/>
    </xf>
    <xf numFmtId="166" fontId="17" fillId="0" borderId="18" xfId="1" applyNumberFormat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left" vertical="center" wrapText="1"/>
    </xf>
    <xf numFmtId="165" fontId="18" fillId="0" borderId="6" xfId="2" applyNumberFormat="1" applyFont="1" applyFill="1" applyBorder="1" applyAlignment="1">
      <alignment horizontal="right" vertical="center" wrapText="1"/>
    </xf>
    <xf numFmtId="165" fontId="18" fillId="0" borderId="5" xfId="2" applyNumberFormat="1" applyFont="1" applyFill="1" applyBorder="1" applyAlignment="1">
      <alignment horizontal="right" vertical="center" wrapText="1"/>
    </xf>
    <xf numFmtId="173" fontId="3" fillId="0" borderId="28" xfId="9" applyNumberFormat="1" applyFont="1" applyFill="1" applyBorder="1" applyAlignment="1">
      <alignment horizontal="left" vertical="center" wrapText="1" indent="2"/>
    </xf>
    <xf numFmtId="49" fontId="18" fillId="0" borderId="1" xfId="2" applyNumberFormat="1" applyFont="1" applyFill="1" applyBorder="1" applyAlignment="1">
      <alignment vertical="center" wrapText="1"/>
    </xf>
    <xf numFmtId="49" fontId="18" fillId="0" borderId="0" xfId="1" applyNumberFormat="1" applyFont="1" applyFill="1" applyBorder="1" applyAlignment="1">
      <alignment horizontal="center" vertical="center" wrapText="1"/>
    </xf>
    <xf numFmtId="49" fontId="18" fillId="0" borderId="0" xfId="1" applyNumberFormat="1" applyFont="1" applyFill="1" applyBorder="1" applyAlignment="1">
      <alignment vertical="center" wrapText="1"/>
    </xf>
    <xf numFmtId="167" fontId="7" fillId="0" borderId="0" xfId="1" applyNumberFormat="1" applyFont="1" applyFill="1" applyBorder="1" applyAlignment="1">
      <alignment horizontal="right" vertical="center"/>
    </xf>
    <xf numFmtId="49" fontId="18" fillId="0" borderId="5" xfId="2" applyNumberFormat="1" applyFont="1" applyFill="1" applyBorder="1" applyAlignment="1">
      <alignment vertical="center" wrapText="1"/>
    </xf>
    <xf numFmtId="166" fontId="12" fillId="0" borderId="25" xfId="3" applyNumberFormat="1" applyFont="1" applyFill="1" applyBorder="1" applyAlignment="1">
      <alignment vertical="center" wrapText="1"/>
    </xf>
    <xf numFmtId="166" fontId="18" fillId="0" borderId="5" xfId="2" applyNumberFormat="1" applyFont="1" applyFill="1" applyBorder="1" applyAlignment="1">
      <alignment vertical="center" wrapText="1"/>
    </xf>
    <xf numFmtId="166" fontId="12" fillId="0" borderId="6" xfId="2" applyNumberFormat="1" applyFont="1" applyFill="1" applyBorder="1" applyAlignment="1">
      <alignment horizontal="right" vertical="center" wrapText="1"/>
    </xf>
    <xf numFmtId="166" fontId="12" fillId="0" borderId="25" xfId="2" applyNumberFormat="1" applyFont="1" applyFill="1" applyBorder="1" applyAlignment="1">
      <alignment horizontal="right" vertical="center" wrapText="1"/>
    </xf>
    <xf numFmtId="166" fontId="18" fillId="0" borderId="6" xfId="2" applyNumberFormat="1" applyFont="1" applyFill="1" applyBorder="1" applyAlignment="1">
      <alignment horizontal="right" vertical="center" wrapText="1"/>
    </xf>
    <xf numFmtId="49" fontId="7" fillId="0" borderId="5" xfId="1" applyNumberFormat="1" applyFont="1" applyFill="1" applyBorder="1" applyAlignment="1">
      <alignment horizontal="right" vertical="center" wrapText="1"/>
    </xf>
    <xf numFmtId="167" fontId="19" fillId="0" borderId="6" xfId="1" applyNumberFormat="1" applyFont="1" applyFill="1" applyBorder="1" applyAlignment="1">
      <alignment horizontal="center" vertical="center" wrapText="1"/>
    </xf>
    <xf numFmtId="167" fontId="7" fillId="0" borderId="5" xfId="1" applyNumberFormat="1" applyFont="1" applyFill="1" applyBorder="1" applyAlignment="1">
      <alignment horizontal="right" vertical="center" wrapText="1"/>
    </xf>
    <xf numFmtId="167" fontId="7" fillId="0" borderId="6" xfId="1" applyNumberFormat="1" applyFont="1" applyFill="1" applyBorder="1" applyAlignment="1">
      <alignment horizontal="right" vertical="center" wrapText="1"/>
    </xf>
    <xf numFmtId="166" fontId="17" fillId="0" borderId="25" xfId="3" applyNumberFormat="1" applyFont="1" applyFill="1" applyBorder="1" applyAlignment="1">
      <alignment vertical="center" wrapText="1"/>
    </xf>
    <xf numFmtId="166" fontId="17" fillId="0" borderId="5" xfId="1" applyNumberFormat="1" applyFont="1" applyFill="1" applyBorder="1" applyAlignment="1">
      <alignment horizontal="right" vertical="center" wrapText="1"/>
    </xf>
    <xf numFmtId="166" fontId="17" fillId="0" borderId="6" xfId="1" applyNumberFormat="1" applyFont="1" applyFill="1" applyBorder="1" applyAlignment="1">
      <alignment horizontal="right" vertical="center" wrapText="1"/>
    </xf>
    <xf numFmtId="166" fontId="17" fillId="0" borderId="25" xfId="1" applyNumberFormat="1" applyFont="1" applyFill="1" applyBorder="1" applyAlignment="1">
      <alignment horizontal="right" vertical="center" wrapText="1"/>
    </xf>
    <xf numFmtId="49" fontId="18" fillId="0" borderId="5" xfId="1" applyNumberFormat="1" applyFont="1" applyFill="1" applyBorder="1" applyAlignment="1">
      <alignment horizontal="right" vertical="center" wrapText="1"/>
    </xf>
    <xf numFmtId="167" fontId="3" fillId="0" borderId="9" xfId="1" applyNumberFormat="1" applyFont="1" applyFill="1" applyBorder="1"/>
    <xf numFmtId="167" fontId="18" fillId="0" borderId="6" xfId="1" applyNumberFormat="1" applyFont="1" applyFill="1" applyBorder="1" applyAlignment="1">
      <alignment horizontal="right" vertical="center" wrapText="1"/>
    </xf>
    <xf numFmtId="167" fontId="7" fillId="0" borderId="3" xfId="1" applyNumberFormat="1" applyFont="1" applyFill="1" applyBorder="1" applyAlignment="1">
      <alignment horizontal="right" vertical="center"/>
    </xf>
    <xf numFmtId="0" fontId="7" fillId="0" borderId="6" xfId="5" applyFont="1" applyFill="1" applyBorder="1"/>
    <xf numFmtId="0" fontId="7" fillId="0" borderId="2" xfId="15" applyFont="1" applyFill="1" applyBorder="1" applyAlignment="1">
      <alignment horizontal="left" vertical="center" wrapText="1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right"/>
    </xf>
    <xf numFmtId="166" fontId="17" fillId="0" borderId="18" xfId="3" applyNumberFormat="1" applyFont="1" applyFill="1" applyBorder="1" applyAlignment="1"/>
    <xf numFmtId="166" fontId="17" fillId="0" borderId="2" xfId="2" applyNumberFormat="1" applyFont="1" applyFill="1" applyBorder="1" applyAlignment="1">
      <alignment horizontal="right"/>
    </xf>
    <xf numFmtId="166" fontId="17" fillId="0" borderId="1" xfId="2" applyNumberFormat="1" applyFont="1" applyFill="1" applyBorder="1" applyAlignment="1">
      <alignment horizontal="right"/>
    </xf>
    <xf numFmtId="166" fontId="17" fillId="0" borderId="3" xfId="2" applyNumberFormat="1" applyFont="1" applyFill="1" applyBorder="1" applyAlignment="1">
      <alignment horizontal="right"/>
    </xf>
    <xf numFmtId="166" fontId="17" fillId="0" borderId="18" xfId="2" applyNumberFormat="1" applyFont="1" applyFill="1" applyBorder="1" applyAlignment="1">
      <alignment horizontal="right"/>
    </xf>
    <xf numFmtId="0" fontId="7" fillId="0" borderId="1" xfId="5" applyFont="1" applyFill="1" applyBorder="1" applyAlignment="1">
      <alignment vertical="justify" wrapText="1"/>
    </xf>
    <xf numFmtId="49" fontId="7" fillId="0" borderId="1" xfId="2" applyNumberFormat="1" applyFont="1" applyFill="1" applyBorder="1" applyAlignment="1">
      <alignment horizontal="right"/>
    </xf>
    <xf numFmtId="166" fontId="7" fillId="0" borderId="2" xfId="2" applyNumberFormat="1" applyFont="1" applyFill="1" applyBorder="1" applyAlignment="1">
      <alignment horizontal="right"/>
    </xf>
    <xf numFmtId="166" fontId="7" fillId="0" borderId="1" xfId="2" applyNumberFormat="1" applyFont="1" applyFill="1" applyBorder="1" applyAlignment="1">
      <alignment horizontal="right"/>
    </xf>
    <xf numFmtId="166" fontId="7" fillId="0" borderId="3" xfId="2" applyNumberFormat="1" applyFont="1" applyFill="1" applyBorder="1" applyAlignment="1">
      <alignment horizontal="right"/>
    </xf>
    <xf numFmtId="166" fontId="7" fillId="0" borderId="18" xfId="2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justify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18" fillId="0" borderId="4" xfId="2" applyNumberFormat="1" applyFont="1" applyFill="1" applyBorder="1" applyAlignment="1">
      <alignment horizontal="right" vertical="center" wrapText="1"/>
    </xf>
    <xf numFmtId="167" fontId="19" fillId="0" borderId="4" xfId="1" applyNumberFormat="1" applyFont="1" applyFill="1" applyBorder="1" applyAlignment="1">
      <alignment horizontal="center" vertical="center" wrapText="1"/>
    </xf>
    <xf numFmtId="167" fontId="7" fillId="0" borderId="4" xfId="1" applyNumberFormat="1" applyFont="1" applyFill="1" applyBorder="1"/>
    <xf numFmtId="166" fontId="12" fillId="0" borderId="8" xfId="2" applyNumberFormat="1" applyFont="1" applyFill="1" applyBorder="1" applyAlignment="1">
      <alignment horizontal="right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165" fontId="17" fillId="0" borderId="4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27" fillId="0" borderId="4" xfId="2" applyNumberFormat="1" applyFont="1" applyFill="1" applyBorder="1" applyAlignment="1">
      <alignment horizontal="right"/>
    </xf>
    <xf numFmtId="165" fontId="27" fillId="0" borderId="8" xfId="2" applyNumberFormat="1" applyFont="1" applyFill="1" applyBorder="1" applyAlignment="1">
      <alignment horizontal="right"/>
    </xf>
    <xf numFmtId="166" fontId="17" fillId="0" borderId="25" xfId="3" applyNumberFormat="1" applyFont="1" applyFill="1" applyBorder="1" applyAlignment="1"/>
    <xf numFmtId="166" fontId="17" fillId="0" borderId="8" xfId="2" applyNumberFormat="1" applyFont="1" applyFill="1" applyBorder="1" applyAlignment="1">
      <alignment horizontal="right"/>
    </xf>
    <xf numFmtId="166" fontId="17" fillId="0" borderId="25" xfId="2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165" fontId="3" fillId="0" borderId="3" xfId="2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left" vertical="center"/>
    </xf>
    <xf numFmtId="173" fontId="29" fillId="0" borderId="1" xfId="9" applyNumberFormat="1" applyFont="1" applyFill="1" applyBorder="1" applyAlignment="1">
      <alignment vertical="top" wrapText="1"/>
    </xf>
    <xf numFmtId="165" fontId="18" fillId="0" borderId="4" xfId="2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left" vertical="center"/>
    </xf>
    <xf numFmtId="0" fontId="7" fillId="0" borderId="5" xfId="8" applyFont="1" applyFill="1" applyBorder="1" applyAlignment="1">
      <alignment horizontal="left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7" fillId="0" borderId="17" xfId="1" applyFont="1" applyFill="1" applyBorder="1"/>
    <xf numFmtId="0" fontId="7" fillId="0" borderId="0" xfId="0" applyFont="1" applyFill="1" applyAlignment="1">
      <alignment wrapText="1"/>
    </xf>
    <xf numFmtId="165" fontId="18" fillId="0" borderId="1" xfId="10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170" fontId="18" fillId="0" borderId="3" xfId="10" applyNumberFormat="1" applyFont="1" applyFill="1" applyBorder="1" applyAlignment="1">
      <alignment horizontal="right" vertical="center" wrapText="1"/>
    </xf>
    <xf numFmtId="0" fontId="7" fillId="0" borderId="24" xfId="1" applyFont="1" applyFill="1" applyBorder="1"/>
    <xf numFmtId="0" fontId="7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vertical="center"/>
    </xf>
    <xf numFmtId="165" fontId="18" fillId="0" borderId="5" xfId="10" applyNumberFormat="1" applyFont="1" applyFill="1" applyBorder="1" applyAlignment="1">
      <alignment horizontal="right" vertical="center" wrapText="1"/>
    </xf>
    <xf numFmtId="170" fontId="18" fillId="0" borderId="6" xfId="10" applyNumberFormat="1" applyFont="1" applyFill="1" applyBorder="1" applyAlignment="1">
      <alignment horizontal="right" vertical="center" wrapText="1"/>
    </xf>
    <xf numFmtId="0" fontId="44" fillId="0" borderId="1" xfId="5" applyFont="1" applyFill="1" applyBorder="1" applyAlignment="1">
      <alignment horizontal="left" vertical="center" wrapText="1"/>
    </xf>
    <xf numFmtId="0" fontId="44" fillId="0" borderId="1" xfId="5" applyFont="1" applyFill="1" applyBorder="1" applyAlignment="1">
      <alignment vertical="center" wrapText="1"/>
    </xf>
    <xf numFmtId="0" fontId="3" fillId="0" borderId="29" xfId="1" applyFont="1" applyFill="1" applyBorder="1"/>
    <xf numFmtId="0" fontId="7" fillId="0" borderId="28" xfId="5" applyFont="1" applyFill="1" applyBorder="1"/>
    <xf numFmtId="49" fontId="19" fillId="0" borderId="28" xfId="1" applyNumberFormat="1" applyFont="1" applyFill="1" applyBorder="1" applyAlignment="1">
      <alignment horizontal="center" vertical="center" wrapText="1"/>
    </xf>
    <xf numFmtId="49" fontId="18" fillId="0" borderId="28" xfId="1" applyNumberFormat="1" applyFont="1" applyFill="1" applyBorder="1" applyAlignment="1">
      <alignment horizontal="center" vertical="center" wrapText="1"/>
    </xf>
    <xf numFmtId="168" fontId="18" fillId="0" borderId="28" xfId="2" applyNumberFormat="1" applyFont="1" applyFill="1" applyBorder="1" applyAlignment="1">
      <alignment horizontal="right" vertical="center" wrapText="1"/>
    </xf>
    <xf numFmtId="167" fontId="19" fillId="0" borderId="28" xfId="1" applyNumberFormat="1" applyFont="1" applyFill="1" applyBorder="1" applyAlignment="1">
      <alignment horizontal="center" vertical="center" wrapText="1"/>
    </xf>
    <xf numFmtId="167" fontId="7" fillId="0" borderId="28" xfId="1" applyNumberFormat="1" applyFont="1" applyFill="1" applyBorder="1"/>
    <xf numFmtId="167" fontId="7" fillId="0" borderId="30" xfId="1" applyNumberFormat="1" applyFont="1" applyFill="1" applyBorder="1" applyAlignment="1">
      <alignment horizontal="right" vertical="center" wrapText="1"/>
    </xf>
    <xf numFmtId="166" fontId="18" fillId="0" borderId="31" xfId="3" applyNumberFormat="1" applyFont="1" applyFill="1" applyBorder="1" applyAlignment="1">
      <alignment vertical="center" wrapText="1"/>
    </xf>
    <xf numFmtId="166" fontId="18" fillId="0" borderId="32" xfId="2" applyNumberFormat="1" applyFont="1" applyFill="1" applyBorder="1" applyAlignment="1">
      <alignment horizontal="right" vertical="center" wrapText="1"/>
    </xf>
    <xf numFmtId="166" fontId="18" fillId="0" borderId="28" xfId="2" applyNumberFormat="1" applyFont="1" applyFill="1" applyBorder="1" applyAlignment="1">
      <alignment horizontal="right" vertical="center" wrapText="1"/>
    </xf>
    <xf numFmtId="166" fontId="18" fillId="0" borderId="30" xfId="2" applyNumberFormat="1" applyFont="1" applyFill="1" applyBorder="1" applyAlignment="1">
      <alignment horizontal="right" vertical="center" wrapText="1"/>
    </xf>
    <xf numFmtId="166" fontId="18" fillId="0" borderId="31" xfId="2" applyNumberFormat="1" applyFont="1" applyFill="1" applyBorder="1" applyAlignment="1">
      <alignment horizontal="right" vertical="center" wrapText="1"/>
    </xf>
    <xf numFmtId="166" fontId="17" fillId="0" borderId="33" xfId="3" applyNumberFormat="1" applyFont="1" applyFill="1" applyBorder="1" applyAlignment="1"/>
    <xf numFmtId="166" fontId="17" fillId="0" borderId="5" xfId="2" applyNumberFormat="1" applyFont="1" applyFill="1" applyBorder="1" applyAlignment="1">
      <alignment horizontal="right"/>
    </xf>
    <xf numFmtId="166" fontId="17" fillId="0" borderId="4" xfId="2" applyNumberFormat="1" applyFont="1" applyFill="1" applyBorder="1" applyAlignment="1">
      <alignment horizontal="right"/>
    </xf>
    <xf numFmtId="166" fontId="17" fillId="0" borderId="33" xfId="2" applyNumberFormat="1" applyFont="1" applyFill="1" applyBorder="1" applyAlignment="1">
      <alignment horizontal="right"/>
    </xf>
    <xf numFmtId="166" fontId="18" fillId="0" borderId="19" xfId="3" applyNumberFormat="1" applyFont="1" applyFill="1" applyBorder="1" applyAlignment="1">
      <alignment vertical="center" wrapText="1"/>
    </xf>
    <xf numFmtId="166" fontId="18" fillId="0" borderId="19" xfId="2" applyNumberFormat="1" applyFont="1" applyFill="1" applyBorder="1" applyAlignment="1">
      <alignment horizontal="right" vertical="center" wrapText="1"/>
    </xf>
    <xf numFmtId="166" fontId="7" fillId="0" borderId="19" xfId="3" applyNumberFormat="1" applyFont="1" applyFill="1" applyBorder="1" applyAlignment="1"/>
    <xf numFmtId="166" fontId="7" fillId="0" borderId="19" xfId="2" applyNumberFormat="1" applyFont="1" applyFill="1" applyBorder="1" applyAlignment="1">
      <alignment horizontal="right"/>
    </xf>
    <xf numFmtId="0" fontId="7" fillId="0" borderId="28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 vertical="center"/>
    </xf>
    <xf numFmtId="49" fontId="7" fillId="0" borderId="28" xfId="1" applyNumberFormat="1" applyFont="1" applyFill="1" applyBorder="1" applyAlignment="1" applyProtection="1">
      <alignment horizontal="center" vertical="center" wrapText="1"/>
    </xf>
    <xf numFmtId="165" fontId="18" fillId="0" borderId="28" xfId="2" applyNumberFormat="1" applyFont="1" applyFill="1" applyBorder="1" applyAlignment="1">
      <alignment horizontal="right" vertical="center" wrapText="1"/>
    </xf>
    <xf numFmtId="165" fontId="3" fillId="0" borderId="28" xfId="2" applyNumberFormat="1" applyFont="1" applyFill="1" applyBorder="1" applyAlignment="1">
      <alignment horizontal="right"/>
    </xf>
    <xf numFmtId="166" fontId="18" fillId="0" borderId="34" xfId="3" applyNumberFormat="1" applyFont="1" applyFill="1" applyBorder="1" applyAlignment="1">
      <alignment vertical="center" wrapText="1"/>
    </xf>
    <xf numFmtId="166" fontId="18" fillId="0" borderId="34" xfId="2" applyNumberFormat="1" applyFont="1" applyFill="1" applyBorder="1" applyAlignment="1">
      <alignment horizontal="right" vertical="center" wrapText="1"/>
    </xf>
  </cellXfs>
  <cellStyles count="43">
    <cellStyle name="Денежный 2" xfId="16"/>
    <cellStyle name="Денежный 2 2" xfId="17"/>
    <cellStyle name="Денежный 3" xfId="18"/>
    <cellStyle name="Обычный" xfId="0" builtinId="0"/>
    <cellStyle name="Обычный 2" xfId="5"/>
    <cellStyle name="Обычный 2 2" xfId="11"/>
    <cellStyle name="Обычный 2 2 2" xfId="19"/>
    <cellStyle name="Обычный 2 3" xfId="20"/>
    <cellStyle name="Обычный 2 3 2" xfId="8"/>
    <cellStyle name="Обычный 2 4" xfId="21"/>
    <cellStyle name="Обычный 2_классификация" xfId="15"/>
    <cellStyle name="Обычный 3" xfId="14"/>
    <cellStyle name="Обычный 3 2" xfId="22"/>
    <cellStyle name="Обычный 3 3" xfId="23"/>
    <cellStyle name="Обычный 4" xfId="24"/>
    <cellStyle name="Обычный 5" xfId="25"/>
    <cellStyle name="Обычный 5 2" xfId="26"/>
    <cellStyle name="Обычный 5 2 2" xfId="27"/>
    <cellStyle name="Обычный 5 2 2 2" xfId="28"/>
    <cellStyle name="Обычный 5 2 2 2 2" xfId="29"/>
    <cellStyle name="Обычный 6" xfId="30"/>
    <cellStyle name="Обычный 6 2" xfId="31"/>
    <cellStyle name="Обычный 6 2 2" xfId="32"/>
    <cellStyle name="Обычный_3 и 4 2012 г" xfId="4"/>
    <cellStyle name="Обычный_pril k resh_07092011" xfId="6"/>
    <cellStyle name="Обычный_классификация" xfId="1"/>
    <cellStyle name="Обычный_прил 12_pril181_01062011 2 2" xfId="7"/>
    <cellStyle name="Обычный_Приложения 1-9 к бюджету 2007 Поправка" xfId="9"/>
    <cellStyle name="Обычный_Приложения 9-15" xfId="12"/>
    <cellStyle name="Процентный 2" xfId="33"/>
    <cellStyle name="Процентный 2 2" xfId="34"/>
    <cellStyle name="Процентный 3" xfId="13"/>
    <cellStyle name="Тысячи [0]_Лист1" xfId="35"/>
    <cellStyle name="Тысячи_Лист1" xfId="36"/>
    <cellStyle name="Финансовый 2" xfId="37"/>
    <cellStyle name="Финансовый 2 10" xfId="38"/>
    <cellStyle name="Финансовый 2 11" xfId="39"/>
    <cellStyle name="Финансовый 2 8" xfId="40"/>
    <cellStyle name="Финансовый 2 9" xfId="41"/>
    <cellStyle name="Финансовый 3" xfId="10"/>
    <cellStyle name="Финансовый 4" xfId="42"/>
    <cellStyle name="Финансовый 4 2" xfId="2"/>
    <cellStyle name="Финансов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elm\&#1086;&#1073;&#1097;&#1072;&#1103;\&#1051;&#1045;&#1041;&#1045;&#1044;&#1045;&#1042;&#1040;%20&#1044;&#1040;&#1056;&#1048;&#1053;&#1040;\&#1053;&#1072;%20&#1089;&#1072;&#1081;&#1090;\&#1092;&#1080;&#1085;&#1072;&#1085;&#1089;&#1099;\&#1056;&#1077;&#1096;%20137%20&#1086;&#1090;%2026.12.2019\&#1087;&#1088;&#1080;&#1083;%202,5,6%20&#1082;%20&#1088;&#1077;&#1096;%20137%20&#1086;&#1090;%2026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 дох 2019-2021  "/>
      <sheetName val="прил 5 2019-2021"/>
      <sheetName val="прил 6 2019-2021."/>
      <sheetName val="прил 7 2019-2021"/>
      <sheetName val="прил 6 2019-2021. (2)"/>
      <sheetName val="прил 7"/>
      <sheetName val="прил8 "/>
      <sheetName val="прил 7."/>
      <sheetName val="прил 10"/>
    </sheetNames>
    <sheetDataSet>
      <sheetData sheetId="0">
        <row r="16">
          <cell r="K16" t="str">
            <v xml:space="preserve">    от  "26" декабря  2019 года № 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601"/>
  <sheetViews>
    <sheetView tabSelected="1" zoomScale="74" zoomScaleNormal="74" zoomScaleSheetLayoutView="90" workbookViewId="0">
      <selection activeCell="B586" sqref="B586"/>
    </sheetView>
  </sheetViews>
  <sheetFormatPr defaultColWidth="9.1796875" defaultRowHeight="12.5" x14ac:dyDescent="0.25"/>
  <cols>
    <col min="1" max="1" width="8.81640625" style="1" customWidth="1"/>
    <col min="2" max="2" width="60.26953125" style="2" customWidth="1"/>
    <col min="3" max="3" width="10" style="3" hidden="1" customWidth="1"/>
    <col min="4" max="4" width="9.26953125" style="4" hidden="1" customWidth="1"/>
    <col min="5" max="5" width="10.453125" style="4" hidden="1" customWidth="1"/>
    <col min="6" max="6" width="13.26953125" style="4" customWidth="1"/>
    <col min="7" max="8" width="10.26953125" style="4" customWidth="1"/>
    <col min="9" max="9" width="10.453125" style="4" customWidth="1"/>
    <col min="10" max="10" width="22.1796875" style="5" hidden="1" customWidth="1"/>
    <col min="11" max="11" width="14.7265625" style="5" hidden="1" customWidth="1"/>
    <col min="12" max="12" width="15.81640625" style="5" hidden="1" customWidth="1"/>
    <col min="13" max="13" width="18.7265625" style="5" hidden="1" customWidth="1"/>
    <col min="14" max="14" width="22.1796875" style="6" customWidth="1"/>
    <col min="15" max="16" width="22.1796875" style="7" hidden="1" customWidth="1"/>
    <col min="17" max="18" width="22.1796875" style="7" customWidth="1"/>
    <col min="19" max="21" width="10.26953125" style="10" hidden="1" customWidth="1"/>
    <col min="22" max="22" width="9.1796875" style="10"/>
    <col min="23" max="23" width="28.54296875" style="10" customWidth="1"/>
    <col min="24" max="24" width="18.81640625" style="10" customWidth="1"/>
    <col min="25" max="16384" width="9.1796875" style="1"/>
  </cols>
  <sheetData>
    <row r="1" spans="1:256" ht="15.5" x14ac:dyDescent="0.35">
      <c r="R1" s="8" t="s">
        <v>0</v>
      </c>
      <c r="S1" s="8"/>
      <c r="T1" s="8"/>
      <c r="U1" s="9"/>
      <c r="V1" s="9"/>
    </row>
    <row r="2" spans="1:256" ht="15.5" x14ac:dyDescent="0.35">
      <c r="Q2" s="11" t="s">
        <v>1</v>
      </c>
      <c r="R2" s="11"/>
      <c r="S2" s="12"/>
      <c r="T2" s="12"/>
      <c r="U2" s="9"/>
      <c r="V2" s="9"/>
    </row>
    <row r="3" spans="1:256" ht="15.5" x14ac:dyDescent="0.35">
      <c r="Q3" s="11" t="s">
        <v>2</v>
      </c>
      <c r="R3" s="11"/>
      <c r="S3" s="12"/>
      <c r="T3" s="12"/>
      <c r="U3" s="12"/>
      <c r="V3" s="12"/>
    </row>
    <row r="4" spans="1:256" ht="15.5" x14ac:dyDescent="0.35">
      <c r="Q4" s="11" t="s">
        <v>3</v>
      </c>
      <c r="R4" s="11"/>
      <c r="S4" s="12"/>
      <c r="T4" s="12"/>
      <c r="U4" s="12"/>
      <c r="V4" s="9"/>
    </row>
    <row r="5" spans="1:256" ht="15.5" x14ac:dyDescent="0.25">
      <c r="Q5" s="13" t="str">
        <f>'[1]прил2 дох 2019-2021  '!$K$16</f>
        <v xml:space="preserve">    от  "26" декабря  2019 года № 137</v>
      </c>
      <c r="R5" s="13"/>
      <c r="S5" s="13"/>
      <c r="T5" s="13"/>
      <c r="U5" s="9"/>
      <c r="V5" s="9"/>
    </row>
    <row r="7" spans="1:256" s="10" customFormat="1" ht="15.5" x14ac:dyDescent="0.35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/>
      <c r="R7" s="16" t="s">
        <v>4</v>
      </c>
      <c r="S7" s="4"/>
      <c r="T7" s="4"/>
      <c r="U7" s="4"/>
      <c r="V7" s="17"/>
      <c r="W7" s="17"/>
      <c r="X7" s="17"/>
      <c r="Y7" s="1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15.5" x14ac:dyDescent="0.35">
      <c r="A8" s="1"/>
      <c r="B8" s="2"/>
      <c r="C8" s="3"/>
      <c r="D8" s="4"/>
      <c r="E8" s="4"/>
      <c r="F8" s="4"/>
      <c r="G8" s="4"/>
      <c r="H8" s="4"/>
      <c r="I8" s="8"/>
      <c r="J8" s="8"/>
      <c r="K8" s="8"/>
      <c r="L8" s="8"/>
      <c r="M8" s="8"/>
      <c r="N8" s="8"/>
      <c r="O8" s="18"/>
      <c r="P8" s="15"/>
      <c r="Q8" s="11" t="s">
        <v>1</v>
      </c>
      <c r="R8" s="11"/>
      <c r="S8" s="4"/>
      <c r="T8" s="4"/>
      <c r="V8" s="12"/>
      <c r="W8" s="12"/>
      <c r="X8" s="12"/>
      <c r="Y8" s="12"/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0" customFormat="1" ht="15.5" x14ac:dyDescent="0.35">
      <c r="A9" s="1"/>
      <c r="B9" s="2"/>
      <c r="C9" s="12"/>
      <c r="D9" s="12"/>
      <c r="E9" s="12"/>
      <c r="F9" s="8"/>
      <c r="G9" s="8"/>
      <c r="H9" s="8"/>
      <c r="I9" s="8"/>
      <c r="J9" s="8"/>
      <c r="K9" s="8"/>
      <c r="L9" s="8"/>
      <c r="M9" s="8"/>
      <c r="N9" s="8"/>
      <c r="O9" s="15"/>
      <c r="P9" s="15"/>
      <c r="Q9" s="11" t="s">
        <v>2</v>
      </c>
      <c r="R9" s="11"/>
      <c r="S9" s="19"/>
      <c r="T9" s="19"/>
      <c r="U9" s="19"/>
      <c r="V9" s="19"/>
      <c r="W9" s="19"/>
      <c r="X9" s="19"/>
      <c r="Y9" s="19"/>
      <c r="Z9" s="19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0" customFormat="1" ht="15.5" x14ac:dyDescent="0.35">
      <c r="A10" s="1"/>
      <c r="B10" s="2"/>
      <c r="C10" s="3"/>
      <c r="D10" s="17"/>
      <c r="E10" s="17"/>
      <c r="F10" s="17"/>
      <c r="G10" s="17"/>
      <c r="H10" s="17"/>
      <c r="I10" s="17"/>
      <c r="J10" s="17"/>
      <c r="K10" s="5"/>
      <c r="L10" s="5"/>
      <c r="M10" s="17"/>
      <c r="N10" s="20"/>
      <c r="O10" s="21"/>
      <c r="P10" s="15"/>
      <c r="Q10" s="11" t="s">
        <v>3</v>
      </c>
      <c r="R10" s="11"/>
      <c r="S10" s="17"/>
      <c r="T10" s="17"/>
      <c r="U10" s="17"/>
      <c r="V10" s="17"/>
      <c r="W10" s="5"/>
      <c r="X10" s="5"/>
      <c r="Z10" s="2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0" customFormat="1" ht="15.5" x14ac:dyDescent="0.25">
      <c r="A11" s="1"/>
      <c r="B11" s="2"/>
      <c r="C11" s="3"/>
      <c r="D11" s="23" t="s">
        <v>5</v>
      </c>
      <c r="E11" s="23"/>
      <c r="F11" s="23"/>
      <c r="G11" s="13"/>
      <c r="H11" s="13"/>
      <c r="I11" s="13"/>
      <c r="J11" s="13"/>
      <c r="K11" s="13"/>
      <c r="L11" s="13"/>
      <c r="M11" s="13"/>
      <c r="N11" s="13"/>
      <c r="O11" s="24"/>
      <c r="P11" s="24"/>
      <c r="Q11" s="25" t="s">
        <v>6</v>
      </c>
      <c r="R11" s="25"/>
      <c r="S11" s="26"/>
      <c r="T11" s="26"/>
      <c r="U11" s="23"/>
      <c r="V11" s="23"/>
      <c r="W11" s="23"/>
      <c r="X11" s="23"/>
      <c r="Y11" s="23"/>
      <c r="Z11" s="2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0" customFormat="1" ht="13.15" customHeight="1" x14ac:dyDescent="0.25">
      <c r="A12" s="1"/>
      <c r="B12" s="2"/>
      <c r="C12" s="3"/>
      <c r="D12" s="4"/>
      <c r="E12" s="4"/>
      <c r="F12" s="4"/>
      <c r="G12" s="4"/>
      <c r="H12" s="4"/>
      <c r="I12" s="4"/>
      <c r="J12" s="5"/>
      <c r="K12" s="5"/>
      <c r="L12" s="5"/>
      <c r="M12" s="4"/>
      <c r="N12" s="27"/>
      <c r="O12" s="28"/>
      <c r="P12" s="28"/>
      <c r="Q12" s="29"/>
      <c r="R12" s="29"/>
      <c r="S12" s="4"/>
      <c r="T12" s="4"/>
      <c r="U12" s="5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" customFormat="1" ht="15.5" hidden="1" x14ac:dyDescent="0.35">
      <c r="A13" s="1"/>
      <c r="B13" s="26"/>
      <c r="C13" s="3"/>
      <c r="D13" s="4"/>
      <c r="E13" s="30"/>
      <c r="F13" s="30"/>
      <c r="G13" s="30"/>
      <c r="H13" s="30"/>
      <c r="I13" s="30"/>
      <c r="J13" s="5"/>
      <c r="K13" s="5"/>
      <c r="L13" s="5"/>
      <c r="M13" s="4"/>
      <c r="N13" s="20" t="s">
        <v>7</v>
      </c>
      <c r="O13" s="31"/>
      <c r="P13" s="31"/>
      <c r="Q13" s="31" t="s">
        <v>7</v>
      </c>
      <c r="R13" s="31" t="s">
        <v>7</v>
      </c>
      <c r="S13" s="30"/>
      <c r="T13" s="30"/>
      <c r="U13" s="26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" customFormat="1" ht="15.5" hidden="1" x14ac:dyDescent="0.35">
      <c r="A14" s="1"/>
      <c r="B14" s="2"/>
      <c r="C14" s="3"/>
      <c r="D14" s="4"/>
      <c r="E14" s="30"/>
      <c r="F14" s="30"/>
      <c r="G14" s="30"/>
      <c r="H14" s="30"/>
      <c r="I14" s="30"/>
      <c r="J14" s="32"/>
      <c r="K14" s="5"/>
      <c r="L14" s="5"/>
      <c r="M14" s="4"/>
      <c r="N14" s="27"/>
      <c r="O14" s="28"/>
      <c r="P14" s="28"/>
      <c r="Q14" s="29"/>
      <c r="R14" s="29"/>
      <c r="S14" s="30"/>
      <c r="T14" s="30"/>
      <c r="U14" s="3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0" customFormat="1" ht="15.5" hidden="1" x14ac:dyDescent="0.35">
      <c r="A15" s="1"/>
      <c r="B15" s="26"/>
      <c r="C15" s="3"/>
      <c r="D15" s="4"/>
      <c r="E15" s="30"/>
      <c r="F15" s="30"/>
      <c r="G15" s="30"/>
      <c r="H15" s="30"/>
      <c r="I15" s="30"/>
      <c r="J15" s="5"/>
      <c r="K15" s="5"/>
      <c r="L15" s="5"/>
      <c r="M15" s="4"/>
      <c r="N15" s="20" t="s">
        <v>8</v>
      </c>
      <c r="O15" s="31"/>
      <c r="P15" s="31"/>
      <c r="Q15" s="31" t="s">
        <v>8</v>
      </c>
      <c r="R15" s="31" t="s">
        <v>8</v>
      </c>
      <c r="S15" s="30"/>
      <c r="T15" s="30"/>
      <c r="U15" s="2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0" customFormat="1" ht="13" hidden="1" x14ac:dyDescent="0.3">
      <c r="A16" s="1"/>
      <c r="B16" s="33"/>
      <c r="C16" s="34"/>
      <c r="D16" s="35"/>
      <c r="E16" s="35"/>
      <c r="F16" s="35"/>
      <c r="G16" s="35"/>
      <c r="H16" s="35"/>
      <c r="I16" s="35"/>
      <c r="J16" s="36">
        <v>69983.100000000006</v>
      </c>
      <c r="K16" s="37" t="s">
        <v>9</v>
      </c>
      <c r="L16" s="38">
        <v>72195.899999999994</v>
      </c>
      <c r="M16" s="39">
        <v>73707.5</v>
      </c>
      <c r="N16" s="40">
        <v>69983.100000000006</v>
      </c>
      <c r="O16" s="41">
        <v>69983.100000000006</v>
      </c>
      <c r="P16" s="41">
        <v>69983.100000000006</v>
      </c>
      <c r="Q16" s="41">
        <v>69983.100000000006</v>
      </c>
      <c r="R16" s="41">
        <v>69983.100000000006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4" ht="13" x14ac:dyDescent="0.3">
      <c r="B17" s="42"/>
      <c r="C17" s="34"/>
      <c r="D17" s="35"/>
      <c r="E17" s="35"/>
      <c r="F17" s="35"/>
      <c r="G17" s="43" t="s">
        <v>10</v>
      </c>
      <c r="H17" s="43"/>
      <c r="I17" s="35"/>
      <c r="J17" s="44">
        <f>J16-J26</f>
        <v>0</v>
      </c>
      <c r="K17" s="37" t="s">
        <v>11</v>
      </c>
      <c r="L17" s="38">
        <v>1804.9</v>
      </c>
      <c r="M17" s="45">
        <v>3685.4</v>
      </c>
      <c r="N17" s="40">
        <f>N16-N26</f>
        <v>0</v>
      </c>
      <c r="O17" s="41">
        <f>O16-O26</f>
        <v>0</v>
      </c>
      <c r="P17" s="41">
        <f>P16-P26</f>
        <v>0</v>
      </c>
      <c r="Q17" s="41">
        <f>Q16-Q26</f>
        <v>0</v>
      </c>
      <c r="R17" s="41">
        <f>R16-R26</f>
        <v>0</v>
      </c>
    </row>
    <row r="18" spans="1:24" ht="15.5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7" t="s">
        <v>10</v>
      </c>
      <c r="L18" s="48">
        <f>L16-L17-L26</f>
        <v>-1.8000000272877514E-4</v>
      </c>
      <c r="M18" s="49">
        <f>M16-M17-M26</f>
        <v>4.1740000597201288E-4</v>
      </c>
      <c r="O18" s="50"/>
      <c r="P18" s="50"/>
      <c r="Q18" s="51"/>
      <c r="R18" s="51"/>
    </row>
    <row r="19" spans="1:24" ht="15.65" customHeight="1" x14ac:dyDescent="0.3">
      <c r="A19" s="52" t="s">
        <v>12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24" ht="17.5" customHeight="1" x14ac:dyDescent="0.3">
      <c r="A20" s="53" t="s">
        <v>13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24" ht="15" customHeight="1" x14ac:dyDescent="0.3">
      <c r="A21" s="52" t="s">
        <v>14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24" ht="13.5" customHeight="1" x14ac:dyDescent="0.3">
      <c r="A22" s="52" t="s">
        <v>15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24" ht="16.149999999999999" customHeight="1" x14ac:dyDescent="0.3">
      <c r="A23" s="52" t="s">
        <v>16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24" ht="16" thickBot="1" x14ac:dyDescent="0.4">
      <c r="B24" s="54"/>
      <c r="C24" s="55"/>
      <c r="D24" s="22"/>
      <c r="E24" s="22"/>
      <c r="F24" s="22"/>
      <c r="G24" s="22"/>
      <c r="H24" s="22"/>
      <c r="I24" s="22"/>
      <c r="J24" s="56" t="s">
        <v>17</v>
      </c>
      <c r="K24" s="56"/>
      <c r="L24" s="56"/>
      <c r="M24" s="56"/>
      <c r="N24" s="57"/>
      <c r="O24" s="58" t="s">
        <v>17</v>
      </c>
      <c r="P24" s="58" t="s">
        <v>17</v>
      </c>
      <c r="Q24" s="58"/>
      <c r="R24" s="58" t="s">
        <v>18</v>
      </c>
    </row>
    <row r="25" spans="1:24" ht="65.5" hidden="1" thickBot="1" x14ac:dyDescent="0.3">
      <c r="B25" s="59" t="s">
        <v>19</v>
      </c>
      <c r="C25" s="60" t="s">
        <v>20</v>
      </c>
      <c r="D25" s="60" t="s">
        <v>21</v>
      </c>
      <c r="E25" s="60" t="s">
        <v>22</v>
      </c>
      <c r="F25" s="60" t="s">
        <v>23</v>
      </c>
      <c r="G25" s="60" t="s">
        <v>24</v>
      </c>
      <c r="H25" s="60"/>
      <c r="I25" s="60" t="s">
        <v>25</v>
      </c>
      <c r="J25" s="61" t="s">
        <v>26</v>
      </c>
      <c r="K25" s="61"/>
      <c r="L25" s="62" t="s">
        <v>27</v>
      </c>
      <c r="M25" s="62" t="s">
        <v>28</v>
      </c>
      <c r="N25" s="63" t="s">
        <v>26</v>
      </c>
      <c r="O25" s="64" t="s">
        <v>26</v>
      </c>
      <c r="P25" s="64" t="s">
        <v>26</v>
      </c>
      <c r="Q25" s="65" t="s">
        <v>26</v>
      </c>
      <c r="R25" s="65" t="s">
        <v>26</v>
      </c>
    </row>
    <row r="26" spans="1:24" s="66" customFormat="1" ht="15.5" hidden="1" thickBot="1" x14ac:dyDescent="0.35">
      <c r="B26" s="67" t="s">
        <v>29</v>
      </c>
      <c r="C26" s="68" t="s">
        <v>30</v>
      </c>
      <c r="D26" s="68" t="s">
        <v>30</v>
      </c>
      <c r="E26" s="68" t="s">
        <v>30</v>
      </c>
      <c r="F26" s="68" t="s">
        <v>30</v>
      </c>
      <c r="G26" s="68" t="s">
        <v>30</v>
      </c>
      <c r="H26" s="68"/>
      <c r="I26" s="68" t="s">
        <v>30</v>
      </c>
      <c r="J26" s="69">
        <f>J27+J70+J75+J89+J111+J150+J158+J172+J179</f>
        <v>69983.100000000006</v>
      </c>
      <c r="K26" s="70"/>
      <c r="L26" s="69">
        <f t="shared" ref="L26:R26" si="0">L27+L70+L75+L89+L111+L150+L158+L172+L179</f>
        <v>70391.000180000003</v>
      </c>
      <c r="M26" s="69">
        <f t="shared" si="0"/>
        <v>70022.0995826</v>
      </c>
      <c r="N26" s="71">
        <f t="shared" si="0"/>
        <v>69983.100000000006</v>
      </c>
      <c r="O26" s="72">
        <f t="shared" si="0"/>
        <v>69983.100000000006</v>
      </c>
      <c r="P26" s="72">
        <f t="shared" si="0"/>
        <v>69983.100000000006</v>
      </c>
      <c r="Q26" s="72">
        <f t="shared" si="0"/>
        <v>69983.100000000006</v>
      </c>
      <c r="R26" s="72">
        <f t="shared" si="0"/>
        <v>69983.100000000006</v>
      </c>
      <c r="S26" s="73"/>
      <c r="T26" s="73"/>
      <c r="U26" s="73"/>
      <c r="V26" s="73"/>
      <c r="W26" s="73"/>
      <c r="X26" s="73"/>
    </row>
    <row r="27" spans="1:24" s="66" customFormat="1" ht="14.5" hidden="1" thickBot="1" x14ac:dyDescent="0.35">
      <c r="B27" s="74" t="s">
        <v>31</v>
      </c>
      <c r="C27" s="75" t="s">
        <v>32</v>
      </c>
      <c r="D27" s="76" t="s">
        <v>33</v>
      </c>
      <c r="E27" s="76"/>
      <c r="F27" s="76"/>
      <c r="G27" s="76"/>
      <c r="H27" s="76"/>
      <c r="I27" s="76"/>
      <c r="J27" s="77">
        <f>J31+J36+J54+J61+J66</f>
        <v>16206.808000000001</v>
      </c>
      <c r="K27" s="78"/>
      <c r="L27" s="77">
        <f t="shared" ref="L27:R27" si="1">L31+L36+L54+L61+L66</f>
        <v>16980.082180000001</v>
      </c>
      <c r="M27" s="77">
        <f t="shared" si="1"/>
        <v>17936.364582600003</v>
      </c>
      <c r="N27" s="79">
        <f t="shared" si="1"/>
        <v>16206.808000000001</v>
      </c>
      <c r="O27" s="80">
        <f t="shared" si="1"/>
        <v>16206.808000000001</v>
      </c>
      <c r="P27" s="80">
        <f t="shared" si="1"/>
        <v>16206.808000000001</v>
      </c>
      <c r="Q27" s="80">
        <f t="shared" si="1"/>
        <v>16206.808000000001</v>
      </c>
      <c r="R27" s="80">
        <f t="shared" si="1"/>
        <v>16206.808000000001</v>
      </c>
      <c r="S27" s="73"/>
      <c r="T27" s="73"/>
      <c r="U27" s="73"/>
      <c r="V27" s="73"/>
      <c r="W27" s="73"/>
      <c r="X27" s="73"/>
    </row>
    <row r="28" spans="1:24" s="66" customFormat="1" ht="26.5" hidden="1" thickBot="1" x14ac:dyDescent="0.35">
      <c r="B28" s="81" t="s">
        <v>34</v>
      </c>
      <c r="C28" s="82"/>
      <c r="D28" s="83" t="s">
        <v>33</v>
      </c>
      <c r="E28" s="83" t="s">
        <v>35</v>
      </c>
      <c r="F28" s="84"/>
      <c r="G28" s="82"/>
      <c r="H28" s="82"/>
      <c r="I28" s="83" t="s">
        <v>35</v>
      </c>
      <c r="J28" s="85"/>
      <c r="K28" s="85"/>
      <c r="L28" s="85"/>
      <c r="M28" s="85"/>
      <c r="N28" s="86"/>
      <c r="O28" s="87"/>
      <c r="P28" s="87"/>
      <c r="Q28" s="87"/>
      <c r="R28" s="87"/>
      <c r="S28" s="73"/>
      <c r="T28" s="73"/>
      <c r="U28" s="73"/>
      <c r="V28" s="73"/>
      <c r="W28" s="73"/>
      <c r="X28" s="73"/>
    </row>
    <row r="29" spans="1:24" s="66" customFormat="1" ht="39.5" hidden="1" thickBot="1" x14ac:dyDescent="0.35">
      <c r="B29" s="81" t="s">
        <v>36</v>
      </c>
      <c r="C29" s="82"/>
      <c r="D29" s="83" t="s">
        <v>33</v>
      </c>
      <c r="E29" s="83" t="s">
        <v>35</v>
      </c>
      <c r="F29" s="84">
        <v>9100000</v>
      </c>
      <c r="G29" s="82"/>
      <c r="H29" s="82"/>
      <c r="I29" s="83" t="s">
        <v>35</v>
      </c>
      <c r="J29" s="85"/>
      <c r="K29" s="85"/>
      <c r="L29" s="85"/>
      <c r="M29" s="85"/>
      <c r="N29" s="86"/>
      <c r="O29" s="87"/>
      <c r="P29" s="87"/>
      <c r="Q29" s="87"/>
      <c r="R29" s="87"/>
      <c r="S29" s="73"/>
      <c r="T29" s="73"/>
      <c r="U29" s="73"/>
      <c r="V29" s="73"/>
      <c r="W29" s="73"/>
      <c r="X29" s="73"/>
    </row>
    <row r="30" spans="1:24" s="66" customFormat="1" ht="25.5" hidden="1" customHeight="1" x14ac:dyDescent="0.3">
      <c r="B30" s="88" t="s">
        <v>37</v>
      </c>
      <c r="C30" s="82"/>
      <c r="D30" s="89" t="s">
        <v>33</v>
      </c>
      <c r="E30" s="89" t="s">
        <v>35</v>
      </c>
      <c r="F30" s="90">
        <v>9100003</v>
      </c>
      <c r="G30" s="82"/>
      <c r="H30" s="82"/>
      <c r="I30" s="89" t="s">
        <v>35</v>
      </c>
      <c r="J30" s="85"/>
      <c r="K30" s="85"/>
      <c r="L30" s="85"/>
      <c r="M30" s="85"/>
      <c r="N30" s="86"/>
      <c r="O30" s="87"/>
      <c r="P30" s="87"/>
      <c r="Q30" s="87"/>
      <c r="R30" s="87"/>
      <c r="S30" s="73"/>
      <c r="T30" s="73"/>
      <c r="U30" s="73"/>
      <c r="V30" s="73"/>
      <c r="W30" s="73"/>
      <c r="X30" s="73"/>
    </row>
    <row r="31" spans="1:24" s="66" customFormat="1" ht="39.5" hidden="1" thickBot="1" x14ac:dyDescent="0.35">
      <c r="B31" s="81" t="s">
        <v>38</v>
      </c>
      <c r="C31" s="82"/>
      <c r="D31" s="83" t="s">
        <v>33</v>
      </c>
      <c r="E31" s="83" t="s">
        <v>39</v>
      </c>
      <c r="F31" s="90"/>
      <c r="G31" s="82"/>
      <c r="H31" s="82"/>
      <c r="I31" s="83" t="s">
        <v>39</v>
      </c>
      <c r="J31" s="91">
        <f>J32</f>
        <v>2155.7860000000001</v>
      </c>
      <c r="K31" s="85"/>
      <c r="L31" s="91">
        <f t="shared" ref="L31:R32" si="2">L32</f>
        <v>2285.1331600000003</v>
      </c>
      <c r="M31" s="91">
        <f t="shared" si="2"/>
        <v>2445.0924812000003</v>
      </c>
      <c r="N31" s="86">
        <f t="shared" si="2"/>
        <v>2155.7860000000001</v>
      </c>
      <c r="O31" s="87">
        <f t="shared" si="2"/>
        <v>2155.7860000000001</v>
      </c>
      <c r="P31" s="87">
        <f t="shared" si="2"/>
        <v>2155.7860000000001</v>
      </c>
      <c r="Q31" s="87">
        <f t="shared" si="2"/>
        <v>2155.7860000000001</v>
      </c>
      <c r="R31" s="87">
        <f t="shared" si="2"/>
        <v>2155.7860000000001</v>
      </c>
      <c r="S31" s="73"/>
      <c r="T31" s="73"/>
      <c r="U31" s="73"/>
      <c r="V31" s="73"/>
      <c r="W31" s="73"/>
      <c r="X31" s="73"/>
    </row>
    <row r="32" spans="1:24" s="66" customFormat="1" ht="39.5" hidden="1" thickBot="1" x14ac:dyDescent="0.35">
      <c r="B32" s="81" t="s">
        <v>36</v>
      </c>
      <c r="C32" s="82"/>
      <c r="D32" s="83" t="s">
        <v>33</v>
      </c>
      <c r="E32" s="83" t="s">
        <v>39</v>
      </c>
      <c r="F32" s="84">
        <v>9100000</v>
      </c>
      <c r="G32" s="82"/>
      <c r="H32" s="82"/>
      <c r="I32" s="83" t="s">
        <v>39</v>
      </c>
      <c r="J32" s="91">
        <f>J33</f>
        <v>2155.7860000000001</v>
      </c>
      <c r="K32" s="91"/>
      <c r="L32" s="91">
        <f t="shared" si="2"/>
        <v>2285.1331600000003</v>
      </c>
      <c r="M32" s="91">
        <f t="shared" si="2"/>
        <v>2445.0924812000003</v>
      </c>
      <c r="N32" s="86">
        <f t="shared" si="2"/>
        <v>2155.7860000000001</v>
      </c>
      <c r="O32" s="87">
        <f t="shared" si="2"/>
        <v>2155.7860000000001</v>
      </c>
      <c r="P32" s="87">
        <f t="shared" si="2"/>
        <v>2155.7860000000001</v>
      </c>
      <c r="Q32" s="87">
        <f t="shared" si="2"/>
        <v>2155.7860000000001</v>
      </c>
      <c r="R32" s="87">
        <f t="shared" si="2"/>
        <v>2155.7860000000001</v>
      </c>
      <c r="S32" s="73"/>
      <c r="T32" s="73"/>
      <c r="U32" s="73"/>
      <c r="V32" s="73"/>
      <c r="W32" s="73"/>
      <c r="X32" s="73"/>
    </row>
    <row r="33" spans="1:256" s="66" customFormat="1" ht="22.15" hidden="1" customHeight="1" x14ac:dyDescent="0.3">
      <c r="B33" s="88" t="s">
        <v>40</v>
      </c>
      <c r="C33" s="82"/>
      <c r="D33" s="89" t="s">
        <v>33</v>
      </c>
      <c r="E33" s="89" t="s">
        <v>39</v>
      </c>
      <c r="F33" s="84">
        <v>9100004</v>
      </c>
      <c r="G33" s="82"/>
      <c r="H33" s="82"/>
      <c r="I33" s="89" t="s">
        <v>39</v>
      </c>
      <c r="J33" s="91">
        <f>J34+J35</f>
        <v>2155.7860000000001</v>
      </c>
      <c r="K33" s="85"/>
      <c r="L33" s="91">
        <f t="shared" ref="L33:R33" si="3">L34+L35</f>
        <v>2285.1331600000003</v>
      </c>
      <c r="M33" s="91">
        <f t="shared" si="3"/>
        <v>2445.0924812000003</v>
      </c>
      <c r="N33" s="86">
        <f t="shared" si="3"/>
        <v>2155.7860000000001</v>
      </c>
      <c r="O33" s="87">
        <f t="shared" si="3"/>
        <v>2155.7860000000001</v>
      </c>
      <c r="P33" s="87">
        <f t="shared" si="3"/>
        <v>2155.7860000000001</v>
      </c>
      <c r="Q33" s="87">
        <f t="shared" si="3"/>
        <v>2155.7860000000001</v>
      </c>
      <c r="R33" s="87">
        <f t="shared" si="3"/>
        <v>2155.7860000000001</v>
      </c>
      <c r="S33" s="73"/>
      <c r="T33" s="73"/>
      <c r="U33" s="73"/>
      <c r="V33" s="73"/>
      <c r="W33" s="73"/>
      <c r="X33" s="73"/>
    </row>
    <row r="34" spans="1:256" s="66" customFormat="1" ht="16.149999999999999" hidden="1" customHeight="1" x14ac:dyDescent="0.3">
      <c r="B34" s="92" t="s">
        <v>41</v>
      </c>
      <c r="C34" s="82"/>
      <c r="D34" s="89" t="s">
        <v>33</v>
      </c>
      <c r="E34" s="89" t="s">
        <v>39</v>
      </c>
      <c r="F34" s="90">
        <v>9100004</v>
      </c>
      <c r="G34" s="93">
        <v>120</v>
      </c>
      <c r="H34" s="93"/>
      <c r="I34" s="89" t="s">
        <v>39</v>
      </c>
      <c r="J34" s="94">
        <v>1300.211</v>
      </c>
      <c r="K34" s="91"/>
      <c r="L34" s="95">
        <f>J34*106%</f>
        <v>1378.2236600000001</v>
      </c>
      <c r="M34" s="95">
        <f>L34*107%</f>
        <v>1474.6993162000001</v>
      </c>
      <c r="N34" s="96">
        <v>1300.211</v>
      </c>
      <c r="O34" s="97">
        <v>1300.211</v>
      </c>
      <c r="P34" s="97">
        <v>1300.211</v>
      </c>
      <c r="Q34" s="97">
        <v>1300.211</v>
      </c>
      <c r="R34" s="97">
        <v>1300.211</v>
      </c>
      <c r="S34" s="73"/>
      <c r="T34" s="73"/>
      <c r="U34" s="73"/>
      <c r="V34" s="73"/>
      <c r="W34" s="73"/>
      <c r="X34" s="73"/>
    </row>
    <row r="35" spans="1:256" s="66" customFormat="1" ht="18.649999999999999" hidden="1" customHeight="1" x14ac:dyDescent="0.3">
      <c r="B35" s="92" t="s">
        <v>42</v>
      </c>
      <c r="C35" s="82"/>
      <c r="D35" s="89" t="s">
        <v>33</v>
      </c>
      <c r="E35" s="89" t="s">
        <v>39</v>
      </c>
      <c r="F35" s="90">
        <v>9100004</v>
      </c>
      <c r="G35" s="93">
        <v>240</v>
      </c>
      <c r="H35" s="93"/>
      <c r="I35" s="89" t="s">
        <v>39</v>
      </c>
      <c r="J35" s="98">
        <v>855.57500000000005</v>
      </c>
      <c r="K35" s="85"/>
      <c r="L35" s="99">
        <f>J35*106%</f>
        <v>906.90950000000009</v>
      </c>
      <c r="M35" s="99">
        <f>L35*107%</f>
        <v>970.39316500000018</v>
      </c>
      <c r="N35" s="96">
        <v>855.57500000000005</v>
      </c>
      <c r="O35" s="97">
        <v>855.57500000000005</v>
      </c>
      <c r="P35" s="97">
        <v>855.57500000000005</v>
      </c>
      <c r="Q35" s="97">
        <v>855.57500000000005</v>
      </c>
      <c r="R35" s="97">
        <v>855.57500000000005</v>
      </c>
      <c r="S35" s="73"/>
      <c r="T35" s="73"/>
      <c r="U35" s="73"/>
      <c r="V35" s="73"/>
      <c r="W35" s="73"/>
      <c r="X35" s="73"/>
    </row>
    <row r="36" spans="1:256" ht="39.5" hidden="1" thickBot="1" x14ac:dyDescent="0.3">
      <c r="B36" s="100" t="s">
        <v>43</v>
      </c>
      <c r="C36" s="101" t="s">
        <v>44</v>
      </c>
      <c r="D36" s="60" t="s">
        <v>33</v>
      </c>
      <c r="E36" s="60" t="s">
        <v>45</v>
      </c>
      <c r="F36" s="60" t="s">
        <v>30</v>
      </c>
      <c r="G36" s="60" t="s">
        <v>30</v>
      </c>
      <c r="H36" s="60"/>
      <c r="I36" s="60" t="s">
        <v>45</v>
      </c>
      <c r="J36" s="102">
        <f>J37</f>
        <v>11843.717000000001</v>
      </c>
      <c r="K36" s="103"/>
      <c r="L36" s="102">
        <f t="shared" ref="L36:R36" si="4">L37</f>
        <v>12487.644020000002</v>
      </c>
      <c r="M36" s="102">
        <f t="shared" si="4"/>
        <v>13283.967101400003</v>
      </c>
      <c r="N36" s="104">
        <f t="shared" si="4"/>
        <v>11843.717000000001</v>
      </c>
      <c r="O36" s="105">
        <f t="shared" si="4"/>
        <v>11843.717000000001</v>
      </c>
      <c r="P36" s="105">
        <f t="shared" si="4"/>
        <v>11843.717000000001</v>
      </c>
      <c r="Q36" s="105">
        <f t="shared" si="4"/>
        <v>11843.717000000001</v>
      </c>
      <c r="R36" s="105">
        <f t="shared" si="4"/>
        <v>11843.717000000001</v>
      </c>
    </row>
    <row r="37" spans="1:256" ht="42.75" hidden="1" customHeight="1" x14ac:dyDescent="0.25">
      <c r="B37" s="100" t="s">
        <v>36</v>
      </c>
      <c r="C37" s="60" t="s">
        <v>44</v>
      </c>
      <c r="D37" s="60" t="s">
        <v>33</v>
      </c>
      <c r="E37" s="60" t="s">
        <v>45</v>
      </c>
      <c r="F37" s="60">
        <v>9100000</v>
      </c>
      <c r="G37" s="60" t="s">
        <v>30</v>
      </c>
      <c r="H37" s="60"/>
      <c r="I37" s="60" t="s">
        <v>45</v>
      </c>
      <c r="J37" s="102">
        <f>J38+J41+J43+J45+J48+J51</f>
        <v>11843.717000000001</v>
      </c>
      <c r="K37" s="103"/>
      <c r="L37" s="102">
        <f t="shared" ref="L37:R37" si="5">L38+L41+L43+L45+L48+L51</f>
        <v>12487.644020000002</v>
      </c>
      <c r="M37" s="102">
        <f t="shared" si="5"/>
        <v>13283.967101400003</v>
      </c>
      <c r="N37" s="104">
        <f t="shared" si="5"/>
        <v>11843.717000000001</v>
      </c>
      <c r="O37" s="105">
        <f t="shared" si="5"/>
        <v>11843.717000000001</v>
      </c>
      <c r="P37" s="105">
        <f t="shared" si="5"/>
        <v>11843.717000000001</v>
      </c>
      <c r="Q37" s="105">
        <f t="shared" si="5"/>
        <v>11843.717000000001</v>
      </c>
      <c r="R37" s="105">
        <f t="shared" si="5"/>
        <v>11843.717000000001</v>
      </c>
    </row>
    <row r="38" spans="1:256" ht="21" hidden="1" customHeight="1" x14ac:dyDescent="0.25">
      <c r="B38" s="106" t="s">
        <v>40</v>
      </c>
      <c r="C38" s="101" t="s">
        <v>44</v>
      </c>
      <c r="D38" s="101" t="s">
        <v>33</v>
      </c>
      <c r="E38" s="101" t="s">
        <v>45</v>
      </c>
      <c r="F38" s="60">
        <v>9100004</v>
      </c>
      <c r="G38" s="101" t="s">
        <v>30</v>
      </c>
      <c r="H38" s="101"/>
      <c r="I38" s="101" t="s">
        <v>45</v>
      </c>
      <c r="J38" s="107">
        <f>J39+J40</f>
        <v>9577.5059999999994</v>
      </c>
      <c r="K38" s="99"/>
      <c r="L38" s="107">
        <f t="shared" ref="L38:R38" si="6">L39+L40</f>
        <v>10152.156360000001</v>
      </c>
      <c r="M38" s="107">
        <f t="shared" si="6"/>
        <v>10862.807305200002</v>
      </c>
      <c r="N38" s="108">
        <f t="shared" si="6"/>
        <v>9577.5059999999994</v>
      </c>
      <c r="O38" s="109">
        <f t="shared" si="6"/>
        <v>9577.5059999999994</v>
      </c>
      <c r="P38" s="109">
        <f t="shared" si="6"/>
        <v>9577.5059999999994</v>
      </c>
      <c r="Q38" s="109">
        <f t="shared" si="6"/>
        <v>9577.5059999999994</v>
      </c>
      <c r="R38" s="109">
        <f t="shared" si="6"/>
        <v>9577.5059999999994</v>
      </c>
    </row>
    <row r="39" spans="1:256" s="10" customFormat="1" ht="21" hidden="1" customHeight="1" x14ac:dyDescent="0.3">
      <c r="A39" s="1"/>
      <c r="B39" s="92" t="s">
        <v>41</v>
      </c>
      <c r="C39" s="101"/>
      <c r="D39" s="101" t="s">
        <v>33</v>
      </c>
      <c r="E39" s="101" t="s">
        <v>45</v>
      </c>
      <c r="F39" s="101">
        <v>9100004</v>
      </c>
      <c r="G39" s="101">
        <v>120</v>
      </c>
      <c r="H39" s="101"/>
      <c r="I39" s="101" t="s">
        <v>45</v>
      </c>
      <c r="J39" s="95">
        <v>7361.933</v>
      </c>
      <c r="K39" s="95"/>
      <c r="L39" s="95">
        <f>J39*106%</f>
        <v>7803.6489799999999</v>
      </c>
      <c r="M39" s="95">
        <f>L39*107%</f>
        <v>8349.9044086000013</v>
      </c>
      <c r="N39" s="108">
        <v>7361.933</v>
      </c>
      <c r="O39" s="109">
        <v>7361.933</v>
      </c>
      <c r="P39" s="109">
        <v>7361.933</v>
      </c>
      <c r="Q39" s="109">
        <v>7361.933</v>
      </c>
      <c r="R39" s="109">
        <v>7361.933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0" customFormat="1" ht="21" hidden="1" customHeight="1" x14ac:dyDescent="0.3">
      <c r="A40" s="1"/>
      <c r="B40" s="92" t="s">
        <v>42</v>
      </c>
      <c r="C40" s="101"/>
      <c r="D40" s="101" t="s">
        <v>33</v>
      </c>
      <c r="E40" s="101" t="s">
        <v>45</v>
      </c>
      <c r="F40" s="101">
        <v>9100004</v>
      </c>
      <c r="G40" s="101">
        <v>240</v>
      </c>
      <c r="H40" s="101"/>
      <c r="I40" s="101" t="s">
        <v>45</v>
      </c>
      <c r="J40" s="95">
        <v>2215.5729999999999</v>
      </c>
      <c r="K40" s="95"/>
      <c r="L40" s="95">
        <f>J40*106%</f>
        <v>2348.50738</v>
      </c>
      <c r="M40" s="95">
        <f>L40*107%</f>
        <v>2512.9028966000001</v>
      </c>
      <c r="N40" s="108">
        <v>2215.5729999999999</v>
      </c>
      <c r="O40" s="109">
        <v>2215.5729999999999</v>
      </c>
      <c r="P40" s="109">
        <v>2215.5729999999999</v>
      </c>
      <c r="Q40" s="109">
        <v>2215.5729999999999</v>
      </c>
      <c r="R40" s="109">
        <v>2215.5729999999999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0" customFormat="1" ht="39.5" hidden="1" thickBot="1" x14ac:dyDescent="0.3">
      <c r="A41" s="1"/>
      <c r="B41" s="106" t="s">
        <v>46</v>
      </c>
      <c r="C41" s="101" t="s">
        <v>44</v>
      </c>
      <c r="D41" s="101" t="s">
        <v>33</v>
      </c>
      <c r="E41" s="101" t="s">
        <v>45</v>
      </c>
      <c r="F41" s="110" t="s">
        <v>47</v>
      </c>
      <c r="G41" s="111"/>
      <c r="H41" s="111"/>
      <c r="I41" s="101" t="s">
        <v>45</v>
      </c>
      <c r="J41" s="94">
        <f>J42</f>
        <v>1154.6110000000001</v>
      </c>
      <c r="K41" s="94"/>
      <c r="L41" s="94">
        <f t="shared" ref="L41:R41" si="7">L42</f>
        <v>1223.8876600000001</v>
      </c>
      <c r="M41" s="94">
        <f t="shared" si="7"/>
        <v>1309.5597962000002</v>
      </c>
      <c r="N41" s="96">
        <f t="shared" si="7"/>
        <v>1154.6110000000001</v>
      </c>
      <c r="O41" s="97">
        <f t="shared" si="7"/>
        <v>1154.6110000000001</v>
      </c>
      <c r="P41" s="97">
        <f t="shared" si="7"/>
        <v>1154.6110000000001</v>
      </c>
      <c r="Q41" s="97">
        <f t="shared" si="7"/>
        <v>1154.6110000000001</v>
      </c>
      <c r="R41" s="97">
        <f t="shared" si="7"/>
        <v>1154.6110000000001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0" customFormat="1" ht="13.5" hidden="1" thickBot="1" x14ac:dyDescent="0.35">
      <c r="A42" s="1"/>
      <c r="B42" s="92" t="s">
        <v>41</v>
      </c>
      <c r="C42" s="101"/>
      <c r="D42" s="101" t="s">
        <v>33</v>
      </c>
      <c r="E42" s="101" t="s">
        <v>45</v>
      </c>
      <c r="F42" s="111" t="s">
        <v>47</v>
      </c>
      <c r="G42" s="101">
        <v>120</v>
      </c>
      <c r="H42" s="101"/>
      <c r="I42" s="101" t="s">
        <v>45</v>
      </c>
      <c r="J42" s="94">
        <v>1154.6110000000001</v>
      </c>
      <c r="K42" s="94"/>
      <c r="L42" s="95">
        <f>J42*106%</f>
        <v>1223.8876600000001</v>
      </c>
      <c r="M42" s="95">
        <f>L42*107%</f>
        <v>1309.5597962000002</v>
      </c>
      <c r="N42" s="96">
        <v>1154.6110000000001</v>
      </c>
      <c r="O42" s="97">
        <v>1154.6110000000001</v>
      </c>
      <c r="P42" s="97">
        <v>1154.6110000000001</v>
      </c>
      <c r="Q42" s="97">
        <v>1154.6110000000001</v>
      </c>
      <c r="R42" s="97">
        <v>1154.6110000000001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0" customFormat="1" ht="26.5" hidden="1" thickBot="1" x14ac:dyDescent="0.3">
      <c r="A43" s="1"/>
      <c r="B43" s="112" t="s">
        <v>48</v>
      </c>
      <c r="C43" s="101"/>
      <c r="D43" s="101" t="s">
        <v>33</v>
      </c>
      <c r="E43" s="101" t="s">
        <v>45</v>
      </c>
      <c r="F43" s="110" t="s">
        <v>49</v>
      </c>
      <c r="G43" s="111"/>
      <c r="H43" s="111"/>
      <c r="I43" s="101" t="s">
        <v>45</v>
      </c>
      <c r="J43" s="103">
        <f>J44</f>
        <v>171.8</v>
      </c>
      <c r="K43" s="103"/>
      <c r="L43" s="103">
        <f t="shared" ref="L43:R43" si="8">L44</f>
        <v>171.8</v>
      </c>
      <c r="M43" s="103">
        <f t="shared" si="8"/>
        <v>171.8</v>
      </c>
      <c r="N43" s="104">
        <f t="shared" si="8"/>
        <v>171.8</v>
      </c>
      <c r="O43" s="105">
        <f t="shared" si="8"/>
        <v>171.8</v>
      </c>
      <c r="P43" s="105">
        <f t="shared" si="8"/>
        <v>171.8</v>
      </c>
      <c r="Q43" s="105">
        <f t="shared" si="8"/>
        <v>171.8</v>
      </c>
      <c r="R43" s="105">
        <f t="shared" si="8"/>
        <v>171.8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0" customFormat="1" ht="13.5" hidden="1" thickBot="1" x14ac:dyDescent="0.35">
      <c r="A44" s="1"/>
      <c r="B44" s="92" t="s">
        <v>50</v>
      </c>
      <c r="C44" s="101"/>
      <c r="D44" s="101" t="s">
        <v>33</v>
      </c>
      <c r="E44" s="101" t="s">
        <v>45</v>
      </c>
      <c r="F44" s="111" t="s">
        <v>49</v>
      </c>
      <c r="G44" s="111" t="s">
        <v>51</v>
      </c>
      <c r="H44" s="111"/>
      <c r="I44" s="101" t="s">
        <v>45</v>
      </c>
      <c r="J44" s="99">
        <v>171.8</v>
      </c>
      <c r="K44" s="99"/>
      <c r="L44" s="99">
        <v>171.8</v>
      </c>
      <c r="M44" s="99">
        <v>171.8</v>
      </c>
      <c r="N44" s="108">
        <v>171.8</v>
      </c>
      <c r="O44" s="109">
        <v>171.8</v>
      </c>
      <c r="P44" s="109">
        <v>171.8</v>
      </c>
      <c r="Q44" s="109">
        <v>171.8</v>
      </c>
      <c r="R44" s="109">
        <v>171.8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0" customFormat="1" ht="45.75" hidden="1" customHeight="1" x14ac:dyDescent="0.25">
      <c r="A45" s="1"/>
      <c r="B45" s="113" t="s">
        <v>52</v>
      </c>
      <c r="C45" s="101"/>
      <c r="D45" s="111" t="s">
        <v>33</v>
      </c>
      <c r="E45" s="111" t="s">
        <v>45</v>
      </c>
      <c r="F45" s="110" t="s">
        <v>53</v>
      </c>
      <c r="G45" s="111"/>
      <c r="H45" s="111"/>
      <c r="I45" s="111" t="s">
        <v>45</v>
      </c>
      <c r="J45" s="103">
        <f>J47</f>
        <v>263</v>
      </c>
      <c r="K45" s="103"/>
      <c r="L45" s="103">
        <f t="shared" ref="L45:R45" si="9">L47</f>
        <v>263</v>
      </c>
      <c r="M45" s="103">
        <f t="shared" si="9"/>
        <v>263</v>
      </c>
      <c r="N45" s="104">
        <f t="shared" si="9"/>
        <v>263</v>
      </c>
      <c r="O45" s="105">
        <f t="shared" si="9"/>
        <v>263</v>
      </c>
      <c r="P45" s="105">
        <f t="shared" si="9"/>
        <v>263</v>
      </c>
      <c r="Q45" s="105">
        <f t="shared" si="9"/>
        <v>263</v>
      </c>
      <c r="R45" s="105">
        <f t="shared" si="9"/>
        <v>263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0" customFormat="1" ht="46.5" hidden="1" customHeight="1" x14ac:dyDescent="0.25">
      <c r="A46" s="1"/>
      <c r="B46" s="114" t="s">
        <v>54</v>
      </c>
      <c r="C46" s="111"/>
      <c r="D46" s="111" t="s">
        <v>33</v>
      </c>
      <c r="E46" s="111" t="s">
        <v>45</v>
      </c>
      <c r="F46" s="111" t="s">
        <v>55</v>
      </c>
      <c r="G46" s="111"/>
      <c r="H46" s="111"/>
      <c r="I46" s="111" t="s">
        <v>45</v>
      </c>
      <c r="J46" s="98"/>
      <c r="K46" s="98"/>
      <c r="L46" s="98"/>
      <c r="M46" s="98"/>
      <c r="N46" s="96"/>
      <c r="O46" s="97"/>
      <c r="P46" s="97"/>
      <c r="Q46" s="97"/>
      <c r="R46" s="97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0" customFormat="1" ht="15" hidden="1" customHeight="1" x14ac:dyDescent="0.3">
      <c r="A47" s="1"/>
      <c r="B47" s="92" t="s">
        <v>56</v>
      </c>
      <c r="C47" s="111"/>
      <c r="D47" s="111" t="s">
        <v>33</v>
      </c>
      <c r="E47" s="111" t="s">
        <v>45</v>
      </c>
      <c r="F47" s="111" t="s">
        <v>53</v>
      </c>
      <c r="G47" s="111" t="s">
        <v>57</v>
      </c>
      <c r="H47" s="111"/>
      <c r="I47" s="111" t="s">
        <v>45</v>
      </c>
      <c r="J47" s="98">
        <v>263</v>
      </c>
      <c r="K47" s="98"/>
      <c r="L47" s="98">
        <v>263</v>
      </c>
      <c r="M47" s="98">
        <v>263</v>
      </c>
      <c r="N47" s="96">
        <v>263</v>
      </c>
      <c r="O47" s="97">
        <v>263</v>
      </c>
      <c r="P47" s="97">
        <v>263</v>
      </c>
      <c r="Q47" s="97">
        <v>263</v>
      </c>
      <c r="R47" s="97">
        <v>263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0" customFormat="1" ht="67.5" hidden="1" customHeight="1" x14ac:dyDescent="0.25">
      <c r="A48" s="1"/>
      <c r="B48" s="115" t="s">
        <v>58</v>
      </c>
      <c r="C48" s="111"/>
      <c r="D48" s="111" t="s">
        <v>33</v>
      </c>
      <c r="E48" s="111" t="s">
        <v>45</v>
      </c>
      <c r="F48" s="110" t="s">
        <v>59</v>
      </c>
      <c r="G48" s="111"/>
      <c r="H48" s="111"/>
      <c r="I48" s="111" t="s">
        <v>45</v>
      </c>
      <c r="J48" s="85">
        <f>J49</f>
        <v>130.1</v>
      </c>
      <c r="K48" s="85"/>
      <c r="L48" s="85">
        <f t="shared" ref="L48:R48" si="10">L49</f>
        <v>130.1</v>
      </c>
      <c r="M48" s="85">
        <f t="shared" si="10"/>
        <v>130.1</v>
      </c>
      <c r="N48" s="86">
        <f t="shared" si="10"/>
        <v>130.1</v>
      </c>
      <c r="O48" s="87">
        <f t="shared" si="10"/>
        <v>130.1</v>
      </c>
      <c r="P48" s="87">
        <f t="shared" si="10"/>
        <v>130.1</v>
      </c>
      <c r="Q48" s="87">
        <f t="shared" si="10"/>
        <v>130.1</v>
      </c>
      <c r="R48" s="87">
        <f t="shared" si="10"/>
        <v>130.1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0" customFormat="1" ht="15" hidden="1" customHeight="1" x14ac:dyDescent="0.3">
      <c r="A49" s="1"/>
      <c r="B49" s="92" t="s">
        <v>56</v>
      </c>
      <c r="C49" s="111"/>
      <c r="D49" s="111" t="s">
        <v>33</v>
      </c>
      <c r="E49" s="111" t="s">
        <v>45</v>
      </c>
      <c r="F49" s="111" t="s">
        <v>59</v>
      </c>
      <c r="G49" s="111" t="s">
        <v>57</v>
      </c>
      <c r="H49" s="111"/>
      <c r="I49" s="111" t="s">
        <v>45</v>
      </c>
      <c r="J49" s="98">
        <v>130.1</v>
      </c>
      <c r="K49" s="98"/>
      <c r="L49" s="98">
        <v>130.1</v>
      </c>
      <c r="M49" s="98">
        <v>130.1</v>
      </c>
      <c r="N49" s="96">
        <v>130.1</v>
      </c>
      <c r="O49" s="97">
        <v>130.1</v>
      </c>
      <c r="P49" s="97">
        <v>130.1</v>
      </c>
      <c r="Q49" s="97">
        <v>130.1</v>
      </c>
      <c r="R49" s="97">
        <v>130.1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0" customFormat="1" ht="60.65" hidden="1" customHeight="1" x14ac:dyDescent="0.25">
      <c r="A50" s="1"/>
      <c r="B50" s="116" t="s">
        <v>60</v>
      </c>
      <c r="C50" s="101"/>
      <c r="D50" s="101" t="s">
        <v>33</v>
      </c>
      <c r="E50" s="101" t="s">
        <v>45</v>
      </c>
      <c r="F50" s="111" t="s">
        <v>61</v>
      </c>
      <c r="G50" s="111"/>
      <c r="H50" s="111"/>
      <c r="I50" s="101" t="s">
        <v>45</v>
      </c>
      <c r="J50" s="98"/>
      <c r="K50" s="98"/>
      <c r="L50" s="98"/>
      <c r="M50" s="98"/>
      <c r="N50" s="96"/>
      <c r="O50" s="97"/>
      <c r="P50" s="97"/>
      <c r="Q50" s="97"/>
      <c r="R50" s="97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0" customFormat="1" ht="52.5" hidden="1" thickBot="1" x14ac:dyDescent="0.3">
      <c r="A51" s="1"/>
      <c r="B51" s="117" t="s">
        <v>62</v>
      </c>
      <c r="C51" s="101"/>
      <c r="D51" s="101" t="s">
        <v>33</v>
      </c>
      <c r="E51" s="101" t="s">
        <v>45</v>
      </c>
      <c r="F51" s="110" t="s">
        <v>63</v>
      </c>
      <c r="G51" s="111"/>
      <c r="H51" s="111"/>
      <c r="I51" s="101" t="s">
        <v>45</v>
      </c>
      <c r="J51" s="85">
        <f>J52+J53</f>
        <v>546.70000000000005</v>
      </c>
      <c r="K51" s="85"/>
      <c r="L51" s="85">
        <f t="shared" ref="L51:R51" si="11">L52+L53</f>
        <v>546.70000000000005</v>
      </c>
      <c r="M51" s="85">
        <f t="shared" si="11"/>
        <v>546.70000000000005</v>
      </c>
      <c r="N51" s="86">
        <f t="shared" si="11"/>
        <v>546.70000000000005</v>
      </c>
      <c r="O51" s="87">
        <f t="shared" si="11"/>
        <v>546.70000000000005</v>
      </c>
      <c r="P51" s="87">
        <f t="shared" si="11"/>
        <v>546.70000000000005</v>
      </c>
      <c r="Q51" s="87">
        <f t="shared" si="11"/>
        <v>546.70000000000005</v>
      </c>
      <c r="R51" s="87">
        <f t="shared" si="11"/>
        <v>546.70000000000005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0" customFormat="1" ht="13.5" hidden="1" thickBot="1" x14ac:dyDescent="0.35">
      <c r="A52" s="1"/>
      <c r="B52" s="118" t="s">
        <v>41</v>
      </c>
      <c r="C52" s="101"/>
      <c r="D52" s="101" t="s">
        <v>33</v>
      </c>
      <c r="E52" s="101" t="s">
        <v>45</v>
      </c>
      <c r="F52" s="111" t="s">
        <v>63</v>
      </c>
      <c r="G52" s="111" t="s">
        <v>64</v>
      </c>
      <c r="H52" s="111"/>
      <c r="I52" s="101" t="s">
        <v>45</v>
      </c>
      <c r="J52" s="98">
        <f>546.7-45.2</f>
        <v>501.50000000000006</v>
      </c>
      <c r="K52" s="98"/>
      <c r="L52" s="98">
        <f t="shared" ref="L52:R52" si="12">546.7-45.2</f>
        <v>501.50000000000006</v>
      </c>
      <c r="M52" s="98">
        <f t="shared" si="12"/>
        <v>501.50000000000006</v>
      </c>
      <c r="N52" s="96">
        <f t="shared" si="12"/>
        <v>501.50000000000006</v>
      </c>
      <c r="O52" s="97">
        <f t="shared" si="12"/>
        <v>501.50000000000006</v>
      </c>
      <c r="P52" s="97">
        <f t="shared" si="12"/>
        <v>501.50000000000006</v>
      </c>
      <c r="Q52" s="97">
        <f t="shared" si="12"/>
        <v>501.50000000000006</v>
      </c>
      <c r="R52" s="97">
        <f t="shared" si="12"/>
        <v>501.50000000000006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0" customFormat="1" ht="13.5" hidden="1" thickBot="1" x14ac:dyDescent="0.35">
      <c r="A53" s="1"/>
      <c r="B53" s="92" t="s">
        <v>42</v>
      </c>
      <c r="C53" s="101"/>
      <c r="D53" s="101"/>
      <c r="E53" s="101"/>
      <c r="F53" s="111"/>
      <c r="G53" s="111" t="s">
        <v>65</v>
      </c>
      <c r="H53" s="111"/>
      <c r="I53" s="101"/>
      <c r="J53" s="98">
        <v>45.2</v>
      </c>
      <c r="K53" s="98"/>
      <c r="L53" s="98">
        <v>45.2</v>
      </c>
      <c r="M53" s="98">
        <v>45.2</v>
      </c>
      <c r="N53" s="96">
        <v>45.2</v>
      </c>
      <c r="O53" s="97">
        <v>45.2</v>
      </c>
      <c r="P53" s="97">
        <v>45.2</v>
      </c>
      <c r="Q53" s="97">
        <v>45.2</v>
      </c>
      <c r="R53" s="97">
        <v>45.2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0" customFormat="1" ht="42" hidden="1" customHeight="1" x14ac:dyDescent="0.25">
      <c r="A54" s="1"/>
      <c r="B54" s="100" t="s">
        <v>66</v>
      </c>
      <c r="C54" s="111"/>
      <c r="D54" s="60" t="s">
        <v>33</v>
      </c>
      <c r="E54" s="110" t="s">
        <v>67</v>
      </c>
      <c r="F54" s="60" t="s">
        <v>30</v>
      </c>
      <c r="G54" s="60" t="s">
        <v>30</v>
      </c>
      <c r="H54" s="60"/>
      <c r="I54" s="110" t="s">
        <v>67</v>
      </c>
      <c r="J54" s="103">
        <f>J55</f>
        <v>99.305000000000007</v>
      </c>
      <c r="K54" s="103"/>
      <c r="L54" s="103">
        <f t="shared" ref="L54:R56" si="13">L55</f>
        <v>99.305000000000007</v>
      </c>
      <c r="M54" s="103">
        <f t="shared" si="13"/>
        <v>99.305000000000007</v>
      </c>
      <c r="N54" s="104">
        <f t="shared" si="13"/>
        <v>99.305000000000007</v>
      </c>
      <c r="O54" s="105">
        <f t="shared" si="13"/>
        <v>99.305000000000007</v>
      </c>
      <c r="P54" s="105">
        <f t="shared" si="13"/>
        <v>99.305000000000007</v>
      </c>
      <c r="Q54" s="105">
        <f t="shared" si="13"/>
        <v>99.305000000000007</v>
      </c>
      <c r="R54" s="105">
        <f t="shared" si="13"/>
        <v>99.305000000000007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39.5" hidden="1" thickBot="1" x14ac:dyDescent="0.3">
      <c r="B55" s="100" t="s">
        <v>36</v>
      </c>
      <c r="C55" s="111"/>
      <c r="D55" s="60" t="s">
        <v>33</v>
      </c>
      <c r="E55" s="60" t="s">
        <v>67</v>
      </c>
      <c r="F55" s="110" t="s">
        <v>68</v>
      </c>
      <c r="G55" s="119"/>
      <c r="H55" s="119"/>
      <c r="I55" s="60" t="s">
        <v>67</v>
      </c>
      <c r="J55" s="103">
        <f>J56</f>
        <v>99.305000000000007</v>
      </c>
      <c r="K55" s="103"/>
      <c r="L55" s="103">
        <f t="shared" si="13"/>
        <v>99.305000000000007</v>
      </c>
      <c r="M55" s="103">
        <f t="shared" si="13"/>
        <v>99.305000000000007</v>
      </c>
      <c r="N55" s="104">
        <f t="shared" si="13"/>
        <v>99.305000000000007</v>
      </c>
      <c r="O55" s="105">
        <f t="shared" si="13"/>
        <v>99.305000000000007</v>
      </c>
      <c r="P55" s="105">
        <f t="shared" si="13"/>
        <v>99.305000000000007</v>
      </c>
      <c r="Q55" s="105">
        <f t="shared" si="13"/>
        <v>99.305000000000007</v>
      </c>
      <c r="R55" s="105">
        <f t="shared" si="13"/>
        <v>99.305000000000007</v>
      </c>
    </row>
    <row r="56" spans="1:256" ht="45.75" hidden="1" customHeight="1" x14ac:dyDescent="0.25">
      <c r="B56" s="113" t="s">
        <v>69</v>
      </c>
      <c r="C56" s="111"/>
      <c r="D56" s="101" t="s">
        <v>33</v>
      </c>
      <c r="E56" s="101" t="s">
        <v>67</v>
      </c>
      <c r="F56" s="111" t="s">
        <v>70</v>
      </c>
      <c r="G56" s="111"/>
      <c r="H56" s="111"/>
      <c r="I56" s="101" t="s">
        <v>67</v>
      </c>
      <c r="J56" s="98">
        <f>J57</f>
        <v>99.305000000000007</v>
      </c>
      <c r="K56" s="98"/>
      <c r="L56" s="98">
        <f t="shared" si="13"/>
        <v>99.305000000000007</v>
      </c>
      <c r="M56" s="98">
        <f t="shared" si="13"/>
        <v>99.305000000000007</v>
      </c>
      <c r="N56" s="96">
        <f t="shared" si="13"/>
        <v>99.305000000000007</v>
      </c>
      <c r="O56" s="97">
        <f t="shared" si="13"/>
        <v>99.305000000000007</v>
      </c>
      <c r="P56" s="97">
        <f t="shared" si="13"/>
        <v>99.305000000000007</v>
      </c>
      <c r="Q56" s="97">
        <f t="shared" si="13"/>
        <v>99.305000000000007</v>
      </c>
      <c r="R56" s="97">
        <f t="shared" si="13"/>
        <v>99.305000000000007</v>
      </c>
    </row>
    <row r="57" spans="1:256" ht="13.9" hidden="1" customHeight="1" x14ac:dyDescent="0.3">
      <c r="B57" s="92" t="s">
        <v>56</v>
      </c>
      <c r="C57" s="111"/>
      <c r="D57" s="101" t="s">
        <v>33</v>
      </c>
      <c r="E57" s="101" t="s">
        <v>67</v>
      </c>
      <c r="F57" s="111" t="s">
        <v>70</v>
      </c>
      <c r="G57" s="111" t="s">
        <v>57</v>
      </c>
      <c r="H57" s="111"/>
      <c r="I57" s="101" t="s">
        <v>67</v>
      </c>
      <c r="J57" s="98">
        <v>99.305000000000007</v>
      </c>
      <c r="K57" s="98"/>
      <c r="L57" s="98">
        <v>99.305000000000007</v>
      </c>
      <c r="M57" s="98">
        <v>99.305000000000007</v>
      </c>
      <c r="N57" s="96">
        <v>99.305000000000007</v>
      </c>
      <c r="O57" s="97">
        <v>99.305000000000007</v>
      </c>
      <c r="P57" s="97">
        <v>99.305000000000007</v>
      </c>
      <c r="Q57" s="97">
        <v>99.305000000000007</v>
      </c>
      <c r="R57" s="97">
        <v>99.305000000000007</v>
      </c>
    </row>
    <row r="58" spans="1:256" ht="14.5" hidden="1" thickBot="1" x14ac:dyDescent="0.3">
      <c r="B58" s="120" t="s">
        <v>71</v>
      </c>
      <c r="C58" s="121"/>
      <c r="D58" s="122" t="s">
        <v>33</v>
      </c>
      <c r="E58" s="123" t="s">
        <v>72</v>
      </c>
      <c r="F58" s="111"/>
      <c r="G58" s="111"/>
      <c r="H58" s="111"/>
      <c r="I58" s="123" t="s">
        <v>72</v>
      </c>
      <c r="J58" s="98"/>
      <c r="K58" s="98"/>
      <c r="L58" s="98"/>
      <c r="M58" s="98"/>
      <c r="N58" s="96"/>
      <c r="O58" s="97"/>
      <c r="P58" s="97"/>
      <c r="Q58" s="97"/>
      <c r="R58" s="97"/>
    </row>
    <row r="59" spans="1:256" ht="39.5" hidden="1" thickBot="1" x14ac:dyDescent="0.3">
      <c r="B59" s="100" t="s">
        <v>73</v>
      </c>
      <c r="C59" s="111"/>
      <c r="D59" s="60" t="s">
        <v>33</v>
      </c>
      <c r="E59" s="110" t="s">
        <v>72</v>
      </c>
      <c r="F59" s="110" t="s">
        <v>74</v>
      </c>
      <c r="G59" s="111"/>
      <c r="H59" s="111"/>
      <c r="I59" s="110" t="s">
        <v>72</v>
      </c>
      <c r="J59" s="98"/>
      <c r="K59" s="98"/>
      <c r="L59" s="98"/>
      <c r="M59" s="98"/>
      <c r="N59" s="96"/>
      <c r="O59" s="97"/>
      <c r="P59" s="97"/>
      <c r="Q59" s="97"/>
      <c r="R59" s="97"/>
    </row>
    <row r="60" spans="1:256" ht="26.5" hidden="1" thickBot="1" x14ac:dyDescent="0.3">
      <c r="B60" s="124" t="s">
        <v>75</v>
      </c>
      <c r="C60" s="121"/>
      <c r="D60" s="101" t="s">
        <v>33</v>
      </c>
      <c r="E60" s="111" t="s">
        <v>72</v>
      </c>
      <c r="F60" s="111" t="s">
        <v>76</v>
      </c>
      <c r="G60" s="111"/>
      <c r="H60" s="111"/>
      <c r="I60" s="111" t="s">
        <v>72</v>
      </c>
      <c r="J60" s="98"/>
      <c r="K60" s="98"/>
      <c r="L60" s="98"/>
      <c r="M60" s="98"/>
      <c r="N60" s="96"/>
      <c r="O60" s="97"/>
      <c r="P60" s="97"/>
      <c r="Q60" s="97"/>
      <c r="R60" s="97"/>
    </row>
    <row r="61" spans="1:256" ht="13.5" hidden="1" thickBot="1" x14ac:dyDescent="0.3">
      <c r="B61" s="100" t="s">
        <v>77</v>
      </c>
      <c r="C61" s="111"/>
      <c r="D61" s="60" t="s">
        <v>33</v>
      </c>
      <c r="E61" s="110" t="s">
        <v>78</v>
      </c>
      <c r="F61" s="60" t="s">
        <v>30</v>
      </c>
      <c r="G61" s="60" t="s">
        <v>30</v>
      </c>
      <c r="H61" s="60"/>
      <c r="I61" s="110" t="s">
        <v>78</v>
      </c>
      <c r="J61" s="102">
        <f>J62</f>
        <v>2000</v>
      </c>
      <c r="K61" s="102"/>
      <c r="L61" s="102">
        <f t="shared" ref="L61:R63" si="14">L62</f>
        <v>2000</v>
      </c>
      <c r="M61" s="102">
        <f t="shared" si="14"/>
        <v>2000</v>
      </c>
      <c r="N61" s="104">
        <f t="shared" si="14"/>
        <v>2000</v>
      </c>
      <c r="O61" s="105">
        <f t="shared" si="14"/>
        <v>2000</v>
      </c>
      <c r="P61" s="105">
        <f t="shared" si="14"/>
        <v>2000</v>
      </c>
      <c r="Q61" s="105">
        <f t="shared" si="14"/>
        <v>2000</v>
      </c>
      <c r="R61" s="105">
        <f t="shared" si="14"/>
        <v>2000</v>
      </c>
    </row>
    <row r="62" spans="1:256" s="66" customFormat="1" ht="39.5" hidden="1" thickBot="1" x14ac:dyDescent="0.35">
      <c r="B62" s="100" t="s">
        <v>73</v>
      </c>
      <c r="C62" s="111"/>
      <c r="D62" s="60" t="s">
        <v>33</v>
      </c>
      <c r="E62" s="110" t="s">
        <v>78</v>
      </c>
      <c r="F62" s="60">
        <v>9900000</v>
      </c>
      <c r="G62" s="60"/>
      <c r="H62" s="60"/>
      <c r="I62" s="110" t="s">
        <v>78</v>
      </c>
      <c r="J62" s="95">
        <f>J63</f>
        <v>2000</v>
      </c>
      <c r="K62" s="95"/>
      <c r="L62" s="95">
        <f t="shared" si="14"/>
        <v>2000</v>
      </c>
      <c r="M62" s="95">
        <f t="shared" si="14"/>
        <v>2000</v>
      </c>
      <c r="N62" s="108">
        <f t="shared" si="14"/>
        <v>2000</v>
      </c>
      <c r="O62" s="109">
        <f t="shared" si="14"/>
        <v>2000</v>
      </c>
      <c r="P62" s="109">
        <f t="shared" si="14"/>
        <v>2000</v>
      </c>
      <c r="Q62" s="109">
        <f t="shared" si="14"/>
        <v>2000</v>
      </c>
      <c r="R62" s="109">
        <f t="shared" si="14"/>
        <v>2000</v>
      </c>
      <c r="S62" s="73"/>
      <c r="T62" s="73"/>
      <c r="U62" s="73"/>
      <c r="V62" s="73"/>
      <c r="W62" s="73"/>
      <c r="X62" s="73"/>
    </row>
    <row r="63" spans="1:256" ht="26.5" hidden="1" thickBot="1" x14ac:dyDescent="0.3">
      <c r="B63" s="106" t="s">
        <v>79</v>
      </c>
      <c r="C63" s="111"/>
      <c r="D63" s="101" t="s">
        <v>33</v>
      </c>
      <c r="E63" s="111" t="s">
        <v>78</v>
      </c>
      <c r="F63" s="111" t="s">
        <v>80</v>
      </c>
      <c r="G63" s="101" t="s">
        <v>30</v>
      </c>
      <c r="H63" s="101"/>
      <c r="I63" s="111" t="s">
        <v>78</v>
      </c>
      <c r="J63" s="95">
        <f>J64</f>
        <v>2000</v>
      </c>
      <c r="K63" s="95"/>
      <c r="L63" s="95">
        <f t="shared" si="14"/>
        <v>2000</v>
      </c>
      <c r="M63" s="95">
        <f t="shared" si="14"/>
        <v>2000</v>
      </c>
      <c r="N63" s="108">
        <f t="shared" si="14"/>
        <v>2000</v>
      </c>
      <c r="O63" s="109">
        <f t="shared" si="14"/>
        <v>2000</v>
      </c>
      <c r="P63" s="109">
        <f t="shared" si="14"/>
        <v>2000</v>
      </c>
      <c r="Q63" s="109">
        <f t="shared" si="14"/>
        <v>2000</v>
      </c>
      <c r="R63" s="109">
        <f t="shared" si="14"/>
        <v>2000</v>
      </c>
    </row>
    <row r="64" spans="1:256" ht="13.5" hidden="1" thickBot="1" x14ac:dyDescent="0.35">
      <c r="B64" s="92" t="s">
        <v>81</v>
      </c>
      <c r="C64" s="111"/>
      <c r="D64" s="101" t="s">
        <v>33</v>
      </c>
      <c r="E64" s="111" t="s">
        <v>78</v>
      </c>
      <c r="F64" s="111" t="s">
        <v>80</v>
      </c>
      <c r="G64" s="101">
        <v>870</v>
      </c>
      <c r="H64" s="101"/>
      <c r="I64" s="111" t="s">
        <v>78</v>
      </c>
      <c r="J64" s="95">
        <v>2000</v>
      </c>
      <c r="K64" s="95"/>
      <c r="L64" s="95">
        <v>2000</v>
      </c>
      <c r="M64" s="95">
        <v>2000</v>
      </c>
      <c r="N64" s="108">
        <v>2000</v>
      </c>
      <c r="O64" s="109">
        <v>2000</v>
      </c>
      <c r="P64" s="109">
        <v>2000</v>
      </c>
      <c r="Q64" s="109">
        <v>2000</v>
      </c>
      <c r="R64" s="109">
        <v>2000</v>
      </c>
    </row>
    <row r="65" spans="1:256" s="10" customFormat="1" ht="13.5" hidden="1" thickBot="1" x14ac:dyDescent="0.3">
      <c r="A65" s="1"/>
      <c r="B65" s="100" t="s">
        <v>82</v>
      </c>
      <c r="C65" s="101"/>
      <c r="D65" s="60" t="s">
        <v>33</v>
      </c>
      <c r="E65" s="110" t="s">
        <v>83</v>
      </c>
      <c r="F65" s="110"/>
      <c r="G65" s="60"/>
      <c r="H65" s="60"/>
      <c r="I65" s="110" t="s">
        <v>83</v>
      </c>
      <c r="J65" s="85">
        <f>J66</f>
        <v>108</v>
      </c>
      <c r="K65" s="85"/>
      <c r="L65" s="85">
        <f t="shared" ref="L65:R66" si="15">L66</f>
        <v>108</v>
      </c>
      <c r="M65" s="85">
        <f t="shared" si="15"/>
        <v>108</v>
      </c>
      <c r="N65" s="86">
        <f t="shared" si="15"/>
        <v>108</v>
      </c>
      <c r="O65" s="87">
        <f t="shared" si="15"/>
        <v>108</v>
      </c>
      <c r="P65" s="87">
        <f t="shared" si="15"/>
        <v>108</v>
      </c>
      <c r="Q65" s="87">
        <f t="shared" si="15"/>
        <v>108</v>
      </c>
      <c r="R65" s="87">
        <f t="shared" si="15"/>
        <v>108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10" customFormat="1" ht="26.5" hidden="1" thickBot="1" x14ac:dyDescent="0.3">
      <c r="A66" s="1"/>
      <c r="B66" s="100" t="s">
        <v>84</v>
      </c>
      <c r="C66" s="110"/>
      <c r="D66" s="110" t="s">
        <v>33</v>
      </c>
      <c r="E66" s="110" t="s">
        <v>83</v>
      </c>
      <c r="F66" s="110" t="s">
        <v>85</v>
      </c>
      <c r="G66" s="110"/>
      <c r="H66" s="110"/>
      <c r="I66" s="110" t="s">
        <v>83</v>
      </c>
      <c r="J66" s="103">
        <f>J67</f>
        <v>108</v>
      </c>
      <c r="K66" s="103"/>
      <c r="L66" s="103">
        <f t="shared" si="15"/>
        <v>108</v>
      </c>
      <c r="M66" s="103">
        <f t="shared" si="15"/>
        <v>108</v>
      </c>
      <c r="N66" s="104">
        <f t="shared" si="15"/>
        <v>108</v>
      </c>
      <c r="O66" s="105">
        <f t="shared" si="15"/>
        <v>108</v>
      </c>
      <c r="P66" s="105">
        <f t="shared" si="15"/>
        <v>108</v>
      </c>
      <c r="Q66" s="105">
        <f t="shared" si="15"/>
        <v>108</v>
      </c>
      <c r="R66" s="105">
        <f t="shared" si="15"/>
        <v>108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10" customFormat="1" ht="13.5" hidden="1" thickBot="1" x14ac:dyDescent="0.3">
      <c r="A67" s="1"/>
      <c r="B67" s="125" t="s">
        <v>86</v>
      </c>
      <c r="C67" s="110"/>
      <c r="D67" s="111" t="s">
        <v>33</v>
      </c>
      <c r="E67" s="111" t="s">
        <v>83</v>
      </c>
      <c r="F67" s="111" t="s">
        <v>87</v>
      </c>
      <c r="G67" s="110"/>
      <c r="H67" s="110"/>
      <c r="I67" s="111" t="s">
        <v>83</v>
      </c>
      <c r="J67" s="99">
        <f>J68+J69</f>
        <v>108</v>
      </c>
      <c r="K67" s="99"/>
      <c r="L67" s="99">
        <f t="shared" ref="L67:R67" si="16">L68+L69</f>
        <v>108</v>
      </c>
      <c r="M67" s="99">
        <f t="shared" si="16"/>
        <v>108</v>
      </c>
      <c r="N67" s="108">
        <f t="shared" si="16"/>
        <v>108</v>
      </c>
      <c r="O67" s="109">
        <f t="shared" si="16"/>
        <v>108</v>
      </c>
      <c r="P67" s="109">
        <f t="shared" si="16"/>
        <v>108</v>
      </c>
      <c r="Q67" s="109">
        <f t="shared" si="16"/>
        <v>108</v>
      </c>
      <c r="R67" s="109">
        <f t="shared" si="16"/>
        <v>108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10" customFormat="1" ht="13.5" hidden="1" thickBot="1" x14ac:dyDescent="0.35">
      <c r="A68" s="1"/>
      <c r="B68" s="92" t="s">
        <v>42</v>
      </c>
      <c r="C68" s="110"/>
      <c r="D68" s="111" t="s">
        <v>33</v>
      </c>
      <c r="E68" s="111" t="s">
        <v>83</v>
      </c>
      <c r="F68" s="111" t="s">
        <v>87</v>
      </c>
      <c r="G68" s="111" t="s">
        <v>65</v>
      </c>
      <c r="H68" s="111"/>
      <c r="I68" s="111" t="s">
        <v>83</v>
      </c>
      <c r="J68" s="99">
        <v>105</v>
      </c>
      <c r="K68" s="99"/>
      <c r="L68" s="99">
        <v>105</v>
      </c>
      <c r="M68" s="99">
        <v>105</v>
      </c>
      <c r="N68" s="108">
        <v>105</v>
      </c>
      <c r="O68" s="109">
        <v>105</v>
      </c>
      <c r="P68" s="109">
        <v>105</v>
      </c>
      <c r="Q68" s="109">
        <v>105</v>
      </c>
      <c r="R68" s="109">
        <v>105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10" customFormat="1" ht="13.5" hidden="1" thickBot="1" x14ac:dyDescent="0.35">
      <c r="A69" s="1"/>
      <c r="B69" s="92" t="s">
        <v>88</v>
      </c>
      <c r="C69" s="110"/>
      <c r="D69" s="111" t="s">
        <v>33</v>
      </c>
      <c r="E69" s="111" t="s">
        <v>83</v>
      </c>
      <c r="F69" s="111" t="s">
        <v>87</v>
      </c>
      <c r="G69" s="111" t="s">
        <v>89</v>
      </c>
      <c r="H69" s="111"/>
      <c r="I69" s="111" t="s">
        <v>83</v>
      </c>
      <c r="J69" s="99">
        <v>3</v>
      </c>
      <c r="K69" s="99"/>
      <c r="L69" s="99">
        <v>3</v>
      </c>
      <c r="M69" s="99">
        <v>3</v>
      </c>
      <c r="N69" s="108">
        <v>3</v>
      </c>
      <c r="O69" s="109">
        <v>3</v>
      </c>
      <c r="P69" s="109">
        <v>3</v>
      </c>
      <c r="Q69" s="109">
        <v>3</v>
      </c>
      <c r="R69" s="109">
        <v>3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10" customFormat="1" ht="14.5" hidden="1" thickBot="1" x14ac:dyDescent="0.3">
      <c r="A70" s="1"/>
      <c r="B70" s="126" t="s">
        <v>90</v>
      </c>
      <c r="C70" s="123"/>
      <c r="D70" s="123" t="s">
        <v>91</v>
      </c>
      <c r="E70" s="123"/>
      <c r="F70" s="123"/>
      <c r="G70" s="123"/>
      <c r="H70" s="123"/>
      <c r="I70" s="123"/>
      <c r="J70" s="127">
        <f>J71</f>
        <v>605.88300000000004</v>
      </c>
      <c r="K70" s="127"/>
      <c r="L70" s="127">
        <f t="shared" ref="L70:R71" si="17">L71</f>
        <v>605.88300000000004</v>
      </c>
      <c r="M70" s="127">
        <f t="shared" si="17"/>
        <v>605.88300000000004</v>
      </c>
      <c r="N70" s="128">
        <f t="shared" si="17"/>
        <v>605.88300000000004</v>
      </c>
      <c r="O70" s="129">
        <f t="shared" si="17"/>
        <v>605.88300000000004</v>
      </c>
      <c r="P70" s="129">
        <f t="shared" si="17"/>
        <v>605.88300000000004</v>
      </c>
      <c r="Q70" s="129">
        <f t="shared" si="17"/>
        <v>605.88300000000004</v>
      </c>
      <c r="R70" s="129">
        <f t="shared" si="17"/>
        <v>605.88300000000004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10" customFormat="1" ht="13.5" hidden="1" thickBot="1" x14ac:dyDescent="0.3">
      <c r="A71" s="1"/>
      <c r="B71" s="100" t="s">
        <v>92</v>
      </c>
      <c r="C71" s="110"/>
      <c r="D71" s="110" t="s">
        <v>91</v>
      </c>
      <c r="E71" s="110" t="s">
        <v>93</v>
      </c>
      <c r="F71" s="110"/>
      <c r="G71" s="110"/>
      <c r="H71" s="110"/>
      <c r="I71" s="110" t="s">
        <v>93</v>
      </c>
      <c r="J71" s="99">
        <f>J72</f>
        <v>605.88300000000004</v>
      </c>
      <c r="K71" s="99"/>
      <c r="L71" s="99">
        <f t="shared" si="17"/>
        <v>605.88300000000004</v>
      </c>
      <c r="M71" s="99">
        <f t="shared" si="17"/>
        <v>605.88300000000004</v>
      </c>
      <c r="N71" s="108">
        <f t="shared" si="17"/>
        <v>605.88300000000004</v>
      </c>
      <c r="O71" s="109">
        <f t="shared" si="17"/>
        <v>605.88300000000004</v>
      </c>
      <c r="P71" s="109">
        <f t="shared" si="17"/>
        <v>605.88300000000004</v>
      </c>
      <c r="Q71" s="109">
        <f t="shared" si="17"/>
        <v>605.88300000000004</v>
      </c>
      <c r="R71" s="109">
        <f t="shared" si="17"/>
        <v>605.88300000000004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10" customFormat="1" ht="26.5" hidden="1" thickBot="1" x14ac:dyDescent="0.3">
      <c r="A72" s="1"/>
      <c r="B72" s="113" t="s">
        <v>94</v>
      </c>
      <c r="C72" s="111"/>
      <c r="D72" s="111" t="s">
        <v>91</v>
      </c>
      <c r="E72" s="111" t="s">
        <v>93</v>
      </c>
      <c r="F72" s="130" t="s">
        <v>95</v>
      </c>
      <c r="G72" s="111"/>
      <c r="H72" s="111"/>
      <c r="I72" s="111" t="s">
        <v>93</v>
      </c>
      <c r="J72" s="99">
        <f>J73+J74</f>
        <v>605.88300000000004</v>
      </c>
      <c r="K72" s="99"/>
      <c r="L72" s="99">
        <f t="shared" ref="L72:R72" si="18">L73+L74</f>
        <v>605.88300000000004</v>
      </c>
      <c r="M72" s="99">
        <f t="shared" si="18"/>
        <v>605.88300000000004</v>
      </c>
      <c r="N72" s="108">
        <f t="shared" si="18"/>
        <v>605.88300000000004</v>
      </c>
      <c r="O72" s="109">
        <f t="shared" si="18"/>
        <v>605.88300000000004</v>
      </c>
      <c r="P72" s="109">
        <f t="shared" si="18"/>
        <v>605.88300000000004</v>
      </c>
      <c r="Q72" s="109">
        <f t="shared" si="18"/>
        <v>605.88300000000004</v>
      </c>
      <c r="R72" s="109">
        <f t="shared" si="18"/>
        <v>605.88300000000004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10" customFormat="1" ht="13.5" hidden="1" thickBot="1" x14ac:dyDescent="0.35">
      <c r="A73" s="1"/>
      <c r="B73" s="118" t="s">
        <v>41</v>
      </c>
      <c r="C73" s="111"/>
      <c r="D73" s="111" t="s">
        <v>91</v>
      </c>
      <c r="E73" s="111" t="s">
        <v>93</v>
      </c>
      <c r="F73" s="130" t="s">
        <v>95</v>
      </c>
      <c r="G73" s="111" t="s">
        <v>64</v>
      </c>
      <c r="H73" s="111"/>
      <c r="I73" s="111" t="s">
        <v>93</v>
      </c>
      <c r="J73" s="99">
        <v>555.32000000000005</v>
      </c>
      <c r="K73" s="99"/>
      <c r="L73" s="99">
        <v>555.32000000000005</v>
      </c>
      <c r="M73" s="99">
        <v>555.32000000000005</v>
      </c>
      <c r="N73" s="108">
        <v>555.32000000000005</v>
      </c>
      <c r="O73" s="109">
        <v>555.32000000000005</v>
      </c>
      <c r="P73" s="109">
        <v>555.32000000000005</v>
      </c>
      <c r="Q73" s="109">
        <v>555.32000000000005</v>
      </c>
      <c r="R73" s="109">
        <v>555.32000000000005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10" customFormat="1" ht="13.5" hidden="1" thickBot="1" x14ac:dyDescent="0.35">
      <c r="A74" s="1"/>
      <c r="B74" s="92" t="s">
        <v>42</v>
      </c>
      <c r="C74" s="111"/>
      <c r="D74" s="111" t="s">
        <v>91</v>
      </c>
      <c r="E74" s="111" t="s">
        <v>93</v>
      </c>
      <c r="F74" s="130" t="s">
        <v>95</v>
      </c>
      <c r="G74" s="111" t="s">
        <v>65</v>
      </c>
      <c r="H74" s="111"/>
      <c r="I74" s="111" t="s">
        <v>93</v>
      </c>
      <c r="J74" s="99">
        <v>50.563000000000002</v>
      </c>
      <c r="K74" s="99"/>
      <c r="L74" s="99">
        <v>50.563000000000002</v>
      </c>
      <c r="M74" s="99">
        <v>50.563000000000002</v>
      </c>
      <c r="N74" s="108">
        <v>50.563000000000002</v>
      </c>
      <c r="O74" s="109">
        <v>50.563000000000002</v>
      </c>
      <c r="P74" s="109">
        <v>50.563000000000002</v>
      </c>
      <c r="Q74" s="109">
        <v>50.563000000000002</v>
      </c>
      <c r="R74" s="109">
        <v>50.563000000000002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0" customFormat="1" ht="32.25" hidden="1" customHeight="1" x14ac:dyDescent="0.25">
      <c r="A75" s="1"/>
      <c r="B75" s="74" t="s">
        <v>96</v>
      </c>
      <c r="C75" s="75"/>
      <c r="D75" s="75" t="s">
        <v>97</v>
      </c>
      <c r="E75" s="75"/>
      <c r="F75" s="75"/>
      <c r="G75" s="75"/>
      <c r="H75" s="75"/>
      <c r="I75" s="75"/>
      <c r="J75" s="131">
        <f>J76</f>
        <v>1397</v>
      </c>
      <c r="K75" s="131"/>
      <c r="L75" s="131">
        <f t="shared" ref="L75:R76" si="19">L76</f>
        <v>1182</v>
      </c>
      <c r="M75" s="131">
        <f t="shared" si="19"/>
        <v>1022</v>
      </c>
      <c r="N75" s="128">
        <f t="shared" si="19"/>
        <v>1397</v>
      </c>
      <c r="O75" s="129">
        <f t="shared" si="19"/>
        <v>1397</v>
      </c>
      <c r="P75" s="129">
        <f t="shared" si="19"/>
        <v>1397</v>
      </c>
      <c r="Q75" s="129">
        <f t="shared" si="19"/>
        <v>1397</v>
      </c>
      <c r="R75" s="129">
        <f t="shared" si="19"/>
        <v>1397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0" customFormat="1" ht="26.5" hidden="1" thickBot="1" x14ac:dyDescent="0.3">
      <c r="A76" s="1"/>
      <c r="B76" s="100" t="s">
        <v>98</v>
      </c>
      <c r="C76" s="111"/>
      <c r="D76" s="110" t="s">
        <v>97</v>
      </c>
      <c r="E76" s="110" t="s">
        <v>99</v>
      </c>
      <c r="F76" s="111"/>
      <c r="G76" s="111"/>
      <c r="H76" s="111"/>
      <c r="I76" s="110" t="s">
        <v>99</v>
      </c>
      <c r="J76" s="95">
        <f>J77</f>
        <v>1397</v>
      </c>
      <c r="K76" s="95"/>
      <c r="L76" s="95">
        <f t="shared" si="19"/>
        <v>1182</v>
      </c>
      <c r="M76" s="95">
        <f t="shared" si="19"/>
        <v>1022</v>
      </c>
      <c r="N76" s="108">
        <f t="shared" si="19"/>
        <v>1397</v>
      </c>
      <c r="O76" s="109">
        <f t="shared" si="19"/>
        <v>1397</v>
      </c>
      <c r="P76" s="109">
        <f t="shared" si="19"/>
        <v>1397</v>
      </c>
      <c r="Q76" s="109">
        <f t="shared" si="19"/>
        <v>1397</v>
      </c>
      <c r="R76" s="109">
        <f t="shared" si="19"/>
        <v>1397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0" customFormat="1" ht="39.65" hidden="1" customHeight="1" x14ac:dyDescent="0.25">
      <c r="A77" s="1"/>
      <c r="B77" s="100" t="s">
        <v>100</v>
      </c>
      <c r="C77" s="110"/>
      <c r="D77" s="110" t="s">
        <v>97</v>
      </c>
      <c r="E77" s="110" t="s">
        <v>99</v>
      </c>
      <c r="F77" s="110" t="s">
        <v>101</v>
      </c>
      <c r="G77" s="132"/>
      <c r="H77" s="132"/>
      <c r="I77" s="110" t="s">
        <v>99</v>
      </c>
      <c r="J77" s="133">
        <f>J78+J83</f>
        <v>1397</v>
      </c>
      <c r="K77" s="133"/>
      <c r="L77" s="133">
        <f t="shared" ref="L77:R77" si="20">L78+L83</f>
        <v>1182</v>
      </c>
      <c r="M77" s="133">
        <f t="shared" si="20"/>
        <v>1022</v>
      </c>
      <c r="N77" s="104">
        <f t="shared" si="20"/>
        <v>1397</v>
      </c>
      <c r="O77" s="134">
        <f t="shared" si="20"/>
        <v>1397</v>
      </c>
      <c r="P77" s="134">
        <f t="shared" si="20"/>
        <v>1397</v>
      </c>
      <c r="Q77" s="135">
        <f t="shared" si="20"/>
        <v>1397</v>
      </c>
      <c r="R77" s="135">
        <f t="shared" si="20"/>
        <v>1397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0" customFormat="1" ht="91.5" hidden="1" thickBot="1" x14ac:dyDescent="0.3">
      <c r="A78" s="1"/>
      <c r="B78" s="136" t="s">
        <v>102</v>
      </c>
      <c r="C78" s="111"/>
      <c r="D78" s="111" t="s">
        <v>97</v>
      </c>
      <c r="E78" s="111" t="s">
        <v>99</v>
      </c>
      <c r="F78" s="110" t="s">
        <v>103</v>
      </c>
      <c r="G78" s="101"/>
      <c r="H78" s="101"/>
      <c r="I78" s="111" t="s">
        <v>99</v>
      </c>
      <c r="J78" s="99">
        <f>J79+J81</f>
        <v>711</v>
      </c>
      <c r="K78" s="99"/>
      <c r="L78" s="99">
        <f t="shared" ref="L78:R78" si="21">L79+L81</f>
        <v>496</v>
      </c>
      <c r="M78" s="99">
        <f t="shared" si="21"/>
        <v>336</v>
      </c>
      <c r="N78" s="108">
        <f t="shared" si="21"/>
        <v>711</v>
      </c>
      <c r="O78" s="109">
        <f t="shared" si="21"/>
        <v>711</v>
      </c>
      <c r="P78" s="109">
        <f t="shared" si="21"/>
        <v>711</v>
      </c>
      <c r="Q78" s="109">
        <f t="shared" si="21"/>
        <v>711</v>
      </c>
      <c r="R78" s="109">
        <f t="shared" si="21"/>
        <v>711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" customFormat="1" ht="91.5" hidden="1" thickBot="1" x14ac:dyDescent="0.3">
      <c r="A79" s="1"/>
      <c r="B79" s="106" t="s">
        <v>104</v>
      </c>
      <c r="C79" s="111"/>
      <c r="D79" s="111" t="s">
        <v>97</v>
      </c>
      <c r="E79" s="111" t="s">
        <v>99</v>
      </c>
      <c r="F79" s="110" t="s">
        <v>105</v>
      </c>
      <c r="G79" s="101"/>
      <c r="H79" s="101"/>
      <c r="I79" s="111" t="s">
        <v>99</v>
      </c>
      <c r="J79" s="99">
        <f>J80</f>
        <v>426</v>
      </c>
      <c r="K79" s="99"/>
      <c r="L79" s="99">
        <f t="shared" ref="L79:R79" si="22">L80</f>
        <v>296</v>
      </c>
      <c r="M79" s="99">
        <f t="shared" si="22"/>
        <v>136</v>
      </c>
      <c r="N79" s="108">
        <f t="shared" si="22"/>
        <v>426</v>
      </c>
      <c r="O79" s="109">
        <f t="shared" si="22"/>
        <v>426</v>
      </c>
      <c r="P79" s="109">
        <f t="shared" si="22"/>
        <v>426</v>
      </c>
      <c r="Q79" s="109">
        <f t="shared" si="22"/>
        <v>426</v>
      </c>
      <c r="R79" s="109">
        <f t="shared" si="22"/>
        <v>426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0" customFormat="1" ht="13.5" hidden="1" thickBot="1" x14ac:dyDescent="0.35">
      <c r="A80" s="1"/>
      <c r="B80" s="92" t="s">
        <v>42</v>
      </c>
      <c r="C80" s="111"/>
      <c r="D80" s="111" t="s">
        <v>97</v>
      </c>
      <c r="E80" s="111" t="s">
        <v>99</v>
      </c>
      <c r="F80" s="111" t="s">
        <v>105</v>
      </c>
      <c r="G80" s="101">
        <v>240</v>
      </c>
      <c r="H80" s="101"/>
      <c r="I80" s="111" t="s">
        <v>99</v>
      </c>
      <c r="J80" s="99">
        <v>426</v>
      </c>
      <c r="K80" s="99"/>
      <c r="L80" s="99">
        <v>296</v>
      </c>
      <c r="M80" s="99">
        <v>136</v>
      </c>
      <c r="N80" s="108">
        <v>426</v>
      </c>
      <c r="O80" s="109">
        <v>426</v>
      </c>
      <c r="P80" s="109">
        <v>426</v>
      </c>
      <c r="Q80" s="109">
        <v>426</v>
      </c>
      <c r="R80" s="109">
        <v>426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2:24" ht="78.5" hidden="1" thickBot="1" x14ac:dyDescent="0.3">
      <c r="B81" s="106" t="s">
        <v>106</v>
      </c>
      <c r="C81" s="111"/>
      <c r="D81" s="111" t="s">
        <v>97</v>
      </c>
      <c r="E81" s="111" t="s">
        <v>99</v>
      </c>
      <c r="F81" s="110" t="s">
        <v>107</v>
      </c>
      <c r="G81" s="101"/>
      <c r="H81" s="101"/>
      <c r="I81" s="111" t="s">
        <v>99</v>
      </c>
      <c r="J81" s="99">
        <f>J82</f>
        <v>285</v>
      </c>
      <c r="K81" s="99"/>
      <c r="L81" s="99">
        <f t="shared" ref="L81:R81" si="23">L82</f>
        <v>200</v>
      </c>
      <c r="M81" s="99">
        <f t="shared" si="23"/>
        <v>200</v>
      </c>
      <c r="N81" s="108">
        <f t="shared" si="23"/>
        <v>285</v>
      </c>
      <c r="O81" s="109">
        <f t="shared" si="23"/>
        <v>285</v>
      </c>
      <c r="P81" s="109">
        <f t="shared" si="23"/>
        <v>285</v>
      </c>
      <c r="Q81" s="109">
        <f t="shared" si="23"/>
        <v>285</v>
      </c>
      <c r="R81" s="109">
        <f t="shared" si="23"/>
        <v>285</v>
      </c>
    </row>
    <row r="82" spans="2:24" ht="13.5" hidden="1" thickBot="1" x14ac:dyDescent="0.35">
      <c r="B82" s="92" t="s">
        <v>42</v>
      </c>
      <c r="C82" s="111"/>
      <c r="D82" s="111" t="s">
        <v>97</v>
      </c>
      <c r="E82" s="111" t="s">
        <v>99</v>
      </c>
      <c r="F82" s="111" t="s">
        <v>105</v>
      </c>
      <c r="G82" s="101">
        <v>240</v>
      </c>
      <c r="H82" s="101"/>
      <c r="I82" s="111" t="s">
        <v>99</v>
      </c>
      <c r="J82" s="99">
        <v>285</v>
      </c>
      <c r="K82" s="99"/>
      <c r="L82" s="99">
        <v>200</v>
      </c>
      <c r="M82" s="99">
        <v>200</v>
      </c>
      <c r="N82" s="108">
        <v>285</v>
      </c>
      <c r="O82" s="109">
        <v>285</v>
      </c>
      <c r="P82" s="109">
        <v>285</v>
      </c>
      <c r="Q82" s="109">
        <v>285</v>
      </c>
      <c r="R82" s="109">
        <v>285</v>
      </c>
    </row>
    <row r="83" spans="2:24" ht="91.5" hidden="1" thickBot="1" x14ac:dyDescent="0.3">
      <c r="B83" s="136" t="s">
        <v>108</v>
      </c>
      <c r="C83" s="110"/>
      <c r="D83" s="111" t="s">
        <v>97</v>
      </c>
      <c r="E83" s="111" t="s">
        <v>99</v>
      </c>
      <c r="F83" s="110" t="s">
        <v>109</v>
      </c>
      <c r="G83" s="110"/>
      <c r="H83" s="110"/>
      <c r="I83" s="111" t="s">
        <v>99</v>
      </c>
      <c r="J83" s="103">
        <f>J84</f>
        <v>686</v>
      </c>
      <c r="K83" s="103"/>
      <c r="L83" s="103">
        <f t="shared" ref="L83:R83" si="24">L84</f>
        <v>686</v>
      </c>
      <c r="M83" s="103">
        <f t="shared" si="24"/>
        <v>686</v>
      </c>
      <c r="N83" s="104">
        <f t="shared" si="24"/>
        <v>686</v>
      </c>
      <c r="O83" s="105">
        <f t="shared" si="24"/>
        <v>686</v>
      </c>
      <c r="P83" s="105">
        <f t="shared" si="24"/>
        <v>686</v>
      </c>
      <c r="Q83" s="105">
        <f t="shared" si="24"/>
        <v>686</v>
      </c>
      <c r="R83" s="105">
        <f t="shared" si="24"/>
        <v>686</v>
      </c>
    </row>
    <row r="84" spans="2:24" ht="104.5" hidden="1" thickBot="1" x14ac:dyDescent="0.3">
      <c r="B84" s="106" t="s">
        <v>110</v>
      </c>
      <c r="C84" s="110"/>
      <c r="D84" s="111" t="s">
        <v>97</v>
      </c>
      <c r="E84" s="111" t="s">
        <v>99</v>
      </c>
      <c r="F84" s="111" t="s">
        <v>111</v>
      </c>
      <c r="G84" s="110"/>
      <c r="H84" s="110"/>
      <c r="I84" s="111" t="s">
        <v>99</v>
      </c>
      <c r="J84" s="99">
        <f>J86</f>
        <v>686</v>
      </c>
      <c r="K84" s="99"/>
      <c r="L84" s="99">
        <f t="shared" ref="L84:R84" si="25">L86</f>
        <v>686</v>
      </c>
      <c r="M84" s="99">
        <f t="shared" si="25"/>
        <v>686</v>
      </c>
      <c r="N84" s="108">
        <f t="shared" si="25"/>
        <v>686</v>
      </c>
      <c r="O84" s="109">
        <f t="shared" si="25"/>
        <v>686</v>
      </c>
      <c r="P84" s="109">
        <f t="shared" si="25"/>
        <v>686</v>
      </c>
      <c r="Q84" s="109">
        <f t="shared" si="25"/>
        <v>686</v>
      </c>
      <c r="R84" s="109">
        <f t="shared" si="25"/>
        <v>686</v>
      </c>
    </row>
    <row r="85" spans="2:24" ht="40.5" hidden="1" customHeight="1" x14ac:dyDescent="0.25">
      <c r="B85" s="114" t="s">
        <v>112</v>
      </c>
      <c r="C85" s="137"/>
      <c r="D85" s="138" t="s">
        <v>97</v>
      </c>
      <c r="E85" s="138" t="s">
        <v>99</v>
      </c>
      <c r="F85" s="138" t="s">
        <v>113</v>
      </c>
      <c r="G85" s="139"/>
      <c r="H85" s="139"/>
      <c r="I85" s="138" t="s">
        <v>99</v>
      </c>
      <c r="J85" s="140"/>
      <c r="K85" s="140"/>
      <c r="L85" s="140"/>
      <c r="M85" s="140"/>
      <c r="N85" s="141"/>
      <c r="O85" s="142"/>
      <c r="P85" s="142"/>
      <c r="Q85" s="142"/>
      <c r="R85" s="142"/>
    </row>
    <row r="86" spans="2:24" ht="17.5" hidden="1" customHeight="1" x14ac:dyDescent="0.3">
      <c r="B86" s="92" t="s">
        <v>42</v>
      </c>
      <c r="C86" s="137"/>
      <c r="D86" s="111" t="s">
        <v>97</v>
      </c>
      <c r="E86" s="111" t="s">
        <v>99</v>
      </c>
      <c r="F86" s="111" t="s">
        <v>111</v>
      </c>
      <c r="G86" s="89" t="s">
        <v>65</v>
      </c>
      <c r="H86" s="89"/>
      <c r="I86" s="111" t="s">
        <v>99</v>
      </c>
      <c r="J86" s="99">
        <v>686</v>
      </c>
      <c r="K86" s="140"/>
      <c r="L86" s="99">
        <v>686</v>
      </c>
      <c r="M86" s="99">
        <v>686</v>
      </c>
      <c r="N86" s="108">
        <v>686</v>
      </c>
      <c r="O86" s="109">
        <v>686</v>
      </c>
      <c r="P86" s="109">
        <v>686</v>
      </c>
      <c r="Q86" s="109">
        <v>686</v>
      </c>
      <c r="R86" s="109">
        <v>686</v>
      </c>
    </row>
    <row r="87" spans="2:24" ht="44.25" hidden="1" customHeight="1" x14ac:dyDescent="0.25">
      <c r="B87" s="100" t="s">
        <v>114</v>
      </c>
      <c r="C87" s="111"/>
      <c r="D87" s="110" t="s">
        <v>97</v>
      </c>
      <c r="E87" s="110" t="s">
        <v>99</v>
      </c>
      <c r="F87" s="110" t="s">
        <v>115</v>
      </c>
      <c r="G87" s="132"/>
      <c r="H87" s="132"/>
      <c r="I87" s="110" t="s">
        <v>99</v>
      </c>
      <c r="J87" s="132"/>
      <c r="K87" s="132"/>
      <c r="L87" s="1"/>
      <c r="M87" s="143"/>
      <c r="N87" s="104"/>
      <c r="O87" s="134"/>
      <c r="P87" s="134"/>
      <c r="Q87" s="135"/>
      <c r="R87" s="135"/>
    </row>
    <row r="88" spans="2:24" ht="39.5" hidden="1" thickBot="1" x14ac:dyDescent="0.3">
      <c r="B88" s="106" t="s">
        <v>116</v>
      </c>
      <c r="C88" s="111"/>
      <c r="D88" s="111" t="s">
        <v>97</v>
      </c>
      <c r="E88" s="111" t="s">
        <v>99</v>
      </c>
      <c r="F88" s="111" t="s">
        <v>117</v>
      </c>
      <c r="G88" s="101"/>
      <c r="H88" s="101"/>
      <c r="I88" s="111" t="s">
        <v>99</v>
      </c>
      <c r="J88" s="99"/>
      <c r="K88" s="99"/>
      <c r="L88" s="99"/>
      <c r="M88" s="99"/>
      <c r="N88" s="108"/>
      <c r="O88" s="109"/>
      <c r="P88" s="109"/>
      <c r="Q88" s="109"/>
      <c r="R88" s="109"/>
    </row>
    <row r="89" spans="2:24" s="66" customFormat="1" ht="14.5" hidden="1" thickBot="1" x14ac:dyDescent="0.35">
      <c r="B89" s="74" t="s">
        <v>118</v>
      </c>
      <c r="C89" s="75"/>
      <c r="D89" s="75" t="s">
        <v>119</v>
      </c>
      <c r="E89" s="75" t="s">
        <v>44</v>
      </c>
      <c r="F89" s="75" t="s">
        <v>44</v>
      </c>
      <c r="G89" s="75" t="s">
        <v>44</v>
      </c>
      <c r="H89" s="75"/>
      <c r="I89" s="75" t="s">
        <v>44</v>
      </c>
      <c r="J89" s="144">
        <f>J90+J99</f>
        <v>18097.09</v>
      </c>
      <c r="K89" s="145"/>
      <c r="L89" s="144">
        <f t="shared" ref="L89:R89" si="26">L90+L99</f>
        <v>11814.485000000001</v>
      </c>
      <c r="M89" s="144">
        <f t="shared" si="26"/>
        <v>14413.347</v>
      </c>
      <c r="N89" s="146">
        <f t="shared" si="26"/>
        <v>18097.09</v>
      </c>
      <c r="O89" s="147">
        <f t="shared" si="26"/>
        <v>18097.09</v>
      </c>
      <c r="P89" s="147">
        <f t="shared" si="26"/>
        <v>18097.09</v>
      </c>
      <c r="Q89" s="147">
        <f t="shared" si="26"/>
        <v>18097.09</v>
      </c>
      <c r="R89" s="147">
        <f t="shared" si="26"/>
        <v>18097.09</v>
      </c>
      <c r="S89" s="73"/>
      <c r="T89" s="73"/>
      <c r="U89" s="73"/>
      <c r="V89" s="73"/>
      <c r="W89" s="73"/>
      <c r="X89" s="73"/>
    </row>
    <row r="90" spans="2:24" s="66" customFormat="1" ht="13.5" hidden="1" thickBot="1" x14ac:dyDescent="0.35">
      <c r="B90" s="148" t="s">
        <v>120</v>
      </c>
      <c r="C90" s="83"/>
      <c r="D90" s="83" t="s">
        <v>119</v>
      </c>
      <c r="E90" s="83" t="s">
        <v>121</v>
      </c>
      <c r="F90" s="83"/>
      <c r="G90" s="83"/>
      <c r="H90" s="83"/>
      <c r="I90" s="83" t="s">
        <v>121</v>
      </c>
      <c r="J90" s="102">
        <f>J91</f>
        <v>17447.29</v>
      </c>
      <c r="K90" s="99"/>
      <c r="L90" s="102">
        <f t="shared" ref="L90:R90" si="27">L91</f>
        <v>11444.685000000001</v>
      </c>
      <c r="M90" s="102">
        <f t="shared" si="27"/>
        <v>14038.547</v>
      </c>
      <c r="N90" s="104">
        <f t="shared" si="27"/>
        <v>17447.29</v>
      </c>
      <c r="O90" s="105">
        <f t="shared" si="27"/>
        <v>17447.29</v>
      </c>
      <c r="P90" s="105">
        <f t="shared" si="27"/>
        <v>17447.29</v>
      </c>
      <c r="Q90" s="105">
        <f t="shared" si="27"/>
        <v>17447.29</v>
      </c>
      <c r="R90" s="105">
        <f t="shared" si="27"/>
        <v>17447.29</v>
      </c>
      <c r="S90" s="73"/>
      <c r="T90" s="73"/>
      <c r="U90" s="73"/>
      <c r="V90" s="73"/>
      <c r="W90" s="73"/>
      <c r="X90" s="73"/>
    </row>
    <row r="91" spans="2:24" s="66" customFormat="1" ht="38.25" hidden="1" customHeight="1" x14ac:dyDescent="0.3">
      <c r="B91" s="100" t="s">
        <v>122</v>
      </c>
      <c r="C91" s="83"/>
      <c r="D91" s="83" t="s">
        <v>119</v>
      </c>
      <c r="E91" s="83" t="s">
        <v>121</v>
      </c>
      <c r="F91" s="83" t="s">
        <v>123</v>
      </c>
      <c r="G91" s="132"/>
      <c r="H91" s="132"/>
      <c r="I91" s="83" t="s">
        <v>121</v>
      </c>
      <c r="J91" s="133">
        <f>J92+J96</f>
        <v>17447.29</v>
      </c>
      <c r="K91" s="149"/>
      <c r="L91" s="133">
        <f t="shared" ref="L91:R91" si="28">L92+L96</f>
        <v>11444.685000000001</v>
      </c>
      <c r="M91" s="133">
        <f t="shared" si="28"/>
        <v>14038.547</v>
      </c>
      <c r="N91" s="104">
        <f t="shared" si="28"/>
        <v>17447.29</v>
      </c>
      <c r="O91" s="134">
        <f t="shared" si="28"/>
        <v>17447.29</v>
      </c>
      <c r="P91" s="134">
        <f t="shared" si="28"/>
        <v>17447.29</v>
      </c>
      <c r="Q91" s="135">
        <f t="shared" si="28"/>
        <v>17447.29</v>
      </c>
      <c r="R91" s="135">
        <f t="shared" si="28"/>
        <v>17447.29</v>
      </c>
      <c r="S91" s="73"/>
      <c r="T91" s="73"/>
      <c r="U91" s="73"/>
      <c r="V91" s="73"/>
      <c r="W91" s="73"/>
      <c r="X91" s="73"/>
    </row>
    <row r="92" spans="2:24" s="66" customFormat="1" ht="65.5" hidden="1" thickBot="1" x14ac:dyDescent="0.35">
      <c r="B92" s="136" t="s">
        <v>124</v>
      </c>
      <c r="C92" s="89"/>
      <c r="D92" s="89" t="s">
        <v>119</v>
      </c>
      <c r="E92" s="89" t="s">
        <v>121</v>
      </c>
      <c r="F92" s="83" t="s">
        <v>125</v>
      </c>
      <c r="G92" s="83"/>
      <c r="H92" s="83"/>
      <c r="I92" s="89" t="s">
        <v>121</v>
      </c>
      <c r="J92" s="102">
        <f>J93</f>
        <v>16806.29</v>
      </c>
      <c r="K92" s="103"/>
      <c r="L92" s="103">
        <f t="shared" ref="L92:R93" si="29">L93</f>
        <v>10777.685000000001</v>
      </c>
      <c r="M92" s="102">
        <f t="shared" si="29"/>
        <v>13305.547</v>
      </c>
      <c r="N92" s="104">
        <f t="shared" si="29"/>
        <v>16806.29</v>
      </c>
      <c r="O92" s="105">
        <f t="shared" si="29"/>
        <v>16806.29</v>
      </c>
      <c r="P92" s="105">
        <f t="shared" si="29"/>
        <v>16806.29</v>
      </c>
      <c r="Q92" s="105">
        <f t="shared" si="29"/>
        <v>16806.29</v>
      </c>
      <c r="R92" s="105">
        <f t="shared" si="29"/>
        <v>16806.29</v>
      </c>
      <c r="S92" s="73"/>
      <c r="T92" s="73"/>
      <c r="U92" s="73"/>
      <c r="V92" s="73"/>
      <c r="W92" s="73"/>
      <c r="X92" s="73"/>
    </row>
    <row r="93" spans="2:24" s="66" customFormat="1" ht="78.5" hidden="1" thickBot="1" x14ac:dyDescent="0.35">
      <c r="B93" s="112" t="s">
        <v>126</v>
      </c>
      <c r="C93" s="89"/>
      <c r="D93" s="89" t="s">
        <v>119</v>
      </c>
      <c r="E93" s="89" t="s">
        <v>121</v>
      </c>
      <c r="F93" s="89" t="s">
        <v>127</v>
      </c>
      <c r="G93" s="89"/>
      <c r="H93" s="89"/>
      <c r="I93" s="89" t="s">
        <v>121</v>
      </c>
      <c r="J93" s="95">
        <f>J94</f>
        <v>16806.29</v>
      </c>
      <c r="K93" s="99"/>
      <c r="L93" s="95">
        <f t="shared" si="29"/>
        <v>10777.685000000001</v>
      </c>
      <c r="M93" s="95">
        <f t="shared" si="29"/>
        <v>13305.547</v>
      </c>
      <c r="N93" s="108">
        <f t="shared" si="29"/>
        <v>16806.29</v>
      </c>
      <c r="O93" s="109">
        <f t="shared" si="29"/>
        <v>16806.29</v>
      </c>
      <c r="P93" s="109">
        <f t="shared" si="29"/>
        <v>16806.29</v>
      </c>
      <c r="Q93" s="109">
        <f t="shared" si="29"/>
        <v>16806.29</v>
      </c>
      <c r="R93" s="109">
        <f t="shared" si="29"/>
        <v>16806.29</v>
      </c>
      <c r="S93" s="73"/>
      <c r="T93" s="73"/>
      <c r="U93" s="73"/>
      <c r="V93" s="73"/>
      <c r="W93" s="73"/>
      <c r="X93" s="73"/>
    </row>
    <row r="94" spans="2:24" s="66" customFormat="1" ht="13.5" hidden="1" thickBot="1" x14ac:dyDescent="0.35">
      <c r="B94" s="92" t="s">
        <v>42</v>
      </c>
      <c r="C94" s="89"/>
      <c r="D94" s="89" t="s">
        <v>119</v>
      </c>
      <c r="E94" s="89" t="s">
        <v>121</v>
      </c>
      <c r="F94" s="89" t="s">
        <v>127</v>
      </c>
      <c r="G94" s="89" t="s">
        <v>65</v>
      </c>
      <c r="H94" s="89"/>
      <c r="I94" s="89" t="s">
        <v>121</v>
      </c>
      <c r="J94" s="95">
        <f>7156.753+13430-3780.463</f>
        <v>16806.29</v>
      </c>
      <c r="K94" s="99"/>
      <c r="L94" s="95">
        <f>22480.2-11702.515</f>
        <v>10777.685000000001</v>
      </c>
      <c r="M94" s="95">
        <v>13305.547</v>
      </c>
      <c r="N94" s="108">
        <f>7156.753+13430-3780.463</f>
        <v>16806.29</v>
      </c>
      <c r="O94" s="109">
        <f>7156.753+13430-3780.463</f>
        <v>16806.29</v>
      </c>
      <c r="P94" s="109">
        <f>7156.753+13430-3780.463</f>
        <v>16806.29</v>
      </c>
      <c r="Q94" s="109">
        <f>7156.753+13430-3780.463</f>
        <v>16806.29</v>
      </c>
      <c r="R94" s="109">
        <f>7156.753+13430-3780.463</f>
        <v>16806.29</v>
      </c>
      <c r="S94" s="73"/>
      <c r="T94" s="73"/>
      <c r="U94" s="73"/>
      <c r="V94" s="73"/>
      <c r="W94" s="73"/>
      <c r="X94" s="73"/>
    </row>
    <row r="95" spans="2:24" s="66" customFormat="1" ht="52.5" hidden="1" thickBot="1" x14ac:dyDescent="0.35">
      <c r="B95" s="112" t="s">
        <v>128</v>
      </c>
      <c r="C95" s="83"/>
      <c r="D95" s="89" t="s">
        <v>119</v>
      </c>
      <c r="E95" s="89" t="s">
        <v>121</v>
      </c>
      <c r="F95" s="89" t="s">
        <v>129</v>
      </c>
      <c r="G95" s="83"/>
      <c r="H95" s="83"/>
      <c r="I95" s="89" t="s">
        <v>121</v>
      </c>
      <c r="J95" s="99"/>
      <c r="K95" s="99"/>
      <c r="L95" s="99"/>
      <c r="M95" s="99"/>
      <c r="N95" s="108"/>
      <c r="O95" s="109"/>
      <c r="P95" s="109"/>
      <c r="Q95" s="109"/>
      <c r="R95" s="109"/>
      <c r="S95" s="73"/>
      <c r="T95" s="73"/>
      <c r="U95" s="73"/>
      <c r="V95" s="73"/>
      <c r="W95" s="73"/>
      <c r="X95" s="73"/>
    </row>
    <row r="96" spans="2:24" s="66" customFormat="1" ht="65.5" hidden="1" thickBot="1" x14ac:dyDescent="0.35">
      <c r="B96" s="136" t="s">
        <v>130</v>
      </c>
      <c r="C96" s="83"/>
      <c r="D96" s="89" t="s">
        <v>119</v>
      </c>
      <c r="E96" s="89" t="s">
        <v>121</v>
      </c>
      <c r="F96" s="83" t="s">
        <v>131</v>
      </c>
      <c r="G96" s="101"/>
      <c r="H96" s="101"/>
      <c r="I96" s="89" t="s">
        <v>121</v>
      </c>
      <c r="J96" s="103">
        <f>J97</f>
        <v>641</v>
      </c>
      <c r="K96" s="103"/>
      <c r="L96" s="103">
        <f t="shared" ref="L96:R97" si="30">L97</f>
        <v>667</v>
      </c>
      <c r="M96" s="103">
        <f t="shared" si="30"/>
        <v>733</v>
      </c>
      <c r="N96" s="104">
        <f t="shared" si="30"/>
        <v>641</v>
      </c>
      <c r="O96" s="105">
        <f t="shared" si="30"/>
        <v>641</v>
      </c>
      <c r="P96" s="105">
        <f t="shared" si="30"/>
        <v>641</v>
      </c>
      <c r="Q96" s="105">
        <f t="shared" si="30"/>
        <v>641</v>
      </c>
      <c r="R96" s="105">
        <f t="shared" si="30"/>
        <v>641</v>
      </c>
      <c r="S96" s="73"/>
      <c r="T96" s="73"/>
      <c r="U96" s="73"/>
      <c r="V96" s="73"/>
      <c r="W96" s="73"/>
      <c r="X96" s="73"/>
    </row>
    <row r="97" spans="2:24" s="66" customFormat="1" ht="78.5" hidden="1" thickBot="1" x14ac:dyDescent="0.35">
      <c r="B97" s="106" t="s">
        <v>132</v>
      </c>
      <c r="C97" s="83"/>
      <c r="D97" s="89" t="s">
        <v>119</v>
      </c>
      <c r="E97" s="89" t="s">
        <v>121</v>
      </c>
      <c r="F97" s="89" t="s">
        <v>133</v>
      </c>
      <c r="G97" s="101"/>
      <c r="H97" s="101"/>
      <c r="I97" s="89" t="s">
        <v>121</v>
      </c>
      <c r="J97" s="99">
        <f>J98</f>
        <v>641</v>
      </c>
      <c r="K97" s="99"/>
      <c r="L97" s="99">
        <f t="shared" si="30"/>
        <v>667</v>
      </c>
      <c r="M97" s="99">
        <f t="shared" si="30"/>
        <v>733</v>
      </c>
      <c r="N97" s="108">
        <f t="shared" si="30"/>
        <v>641</v>
      </c>
      <c r="O97" s="109">
        <f t="shared" si="30"/>
        <v>641</v>
      </c>
      <c r="P97" s="109">
        <f t="shared" si="30"/>
        <v>641</v>
      </c>
      <c r="Q97" s="109">
        <f t="shared" si="30"/>
        <v>641</v>
      </c>
      <c r="R97" s="109">
        <f t="shared" si="30"/>
        <v>641</v>
      </c>
      <c r="S97" s="73"/>
      <c r="T97" s="73"/>
      <c r="U97" s="73"/>
      <c r="V97" s="73"/>
      <c r="W97" s="73"/>
      <c r="X97" s="73"/>
    </row>
    <row r="98" spans="2:24" s="66" customFormat="1" ht="13.5" hidden="1" thickBot="1" x14ac:dyDescent="0.35">
      <c r="B98" s="92" t="s">
        <v>42</v>
      </c>
      <c r="C98" s="83"/>
      <c r="D98" s="89" t="s">
        <v>119</v>
      </c>
      <c r="E98" s="89" t="s">
        <v>121</v>
      </c>
      <c r="F98" s="89" t="s">
        <v>133</v>
      </c>
      <c r="G98" s="101">
        <v>240</v>
      </c>
      <c r="H98" s="101"/>
      <c r="I98" s="89" t="s">
        <v>121</v>
      </c>
      <c r="J98" s="99">
        <v>641</v>
      </c>
      <c r="K98" s="99"/>
      <c r="L98" s="99">
        <v>667</v>
      </c>
      <c r="M98" s="99">
        <v>733</v>
      </c>
      <c r="N98" s="108">
        <v>641</v>
      </c>
      <c r="O98" s="109">
        <v>641</v>
      </c>
      <c r="P98" s="109">
        <v>641</v>
      </c>
      <c r="Q98" s="109">
        <v>641</v>
      </c>
      <c r="R98" s="109">
        <v>641</v>
      </c>
      <c r="S98" s="73"/>
      <c r="T98" s="73"/>
      <c r="U98" s="73"/>
      <c r="V98" s="73"/>
      <c r="W98" s="73"/>
      <c r="X98" s="73"/>
    </row>
    <row r="99" spans="2:24" s="66" customFormat="1" ht="13.5" hidden="1" thickBot="1" x14ac:dyDescent="0.35">
      <c r="B99" s="81" t="s">
        <v>134</v>
      </c>
      <c r="C99" s="83"/>
      <c r="D99" s="110" t="s">
        <v>119</v>
      </c>
      <c r="E99" s="110" t="s">
        <v>135</v>
      </c>
      <c r="F99" s="89"/>
      <c r="G99" s="101"/>
      <c r="H99" s="101"/>
      <c r="I99" s="110" t="s">
        <v>135</v>
      </c>
      <c r="J99" s="150">
        <f>J100+J104</f>
        <v>649.79999999999995</v>
      </c>
      <c r="K99" s="150"/>
      <c r="L99" s="150">
        <f t="shared" ref="L99:R99" si="31">L100+L104</f>
        <v>369.8</v>
      </c>
      <c r="M99" s="150">
        <f t="shared" si="31"/>
        <v>374.8</v>
      </c>
      <c r="N99" s="104">
        <f t="shared" si="31"/>
        <v>649.79999999999995</v>
      </c>
      <c r="O99" s="105">
        <f t="shared" si="31"/>
        <v>649.79999999999995</v>
      </c>
      <c r="P99" s="105">
        <f t="shared" si="31"/>
        <v>649.79999999999995</v>
      </c>
      <c r="Q99" s="105">
        <f t="shared" si="31"/>
        <v>649.79999999999995</v>
      </c>
      <c r="R99" s="105">
        <f t="shared" si="31"/>
        <v>649.79999999999995</v>
      </c>
      <c r="S99" s="73"/>
      <c r="T99" s="73"/>
      <c r="U99" s="73"/>
      <c r="V99" s="73"/>
      <c r="W99" s="73"/>
      <c r="X99" s="73"/>
    </row>
    <row r="100" spans="2:24" s="66" customFormat="1" ht="51.75" hidden="1" customHeight="1" x14ac:dyDescent="0.3">
      <c r="B100" s="100" t="s">
        <v>136</v>
      </c>
      <c r="C100" s="111"/>
      <c r="D100" s="110" t="s">
        <v>119</v>
      </c>
      <c r="E100" s="110" t="s">
        <v>135</v>
      </c>
      <c r="F100" s="110" t="s">
        <v>137</v>
      </c>
      <c r="G100" s="132"/>
      <c r="H100" s="132"/>
      <c r="I100" s="110" t="s">
        <v>135</v>
      </c>
      <c r="J100" s="133">
        <f>J102</f>
        <v>300</v>
      </c>
      <c r="K100" s="133"/>
      <c r="L100" s="133">
        <f t="shared" ref="L100:R100" si="32">L102</f>
        <v>305</v>
      </c>
      <c r="M100" s="133">
        <f t="shared" si="32"/>
        <v>310</v>
      </c>
      <c r="N100" s="104">
        <f t="shared" si="32"/>
        <v>300</v>
      </c>
      <c r="O100" s="134">
        <f t="shared" si="32"/>
        <v>300</v>
      </c>
      <c r="P100" s="134">
        <f t="shared" si="32"/>
        <v>300</v>
      </c>
      <c r="Q100" s="135">
        <f t="shared" si="32"/>
        <v>300</v>
      </c>
      <c r="R100" s="135">
        <f t="shared" si="32"/>
        <v>300</v>
      </c>
      <c r="S100" s="73"/>
      <c r="T100" s="73"/>
      <c r="U100" s="73"/>
      <c r="V100" s="73"/>
      <c r="W100" s="73"/>
      <c r="X100" s="73"/>
    </row>
    <row r="101" spans="2:24" s="66" customFormat="1" ht="78" hidden="1" customHeight="1" x14ac:dyDescent="0.3">
      <c r="B101" s="88" t="s">
        <v>138</v>
      </c>
      <c r="D101" s="89" t="s">
        <v>119</v>
      </c>
      <c r="E101" s="89" t="s">
        <v>135</v>
      </c>
      <c r="F101" s="89" t="s">
        <v>139</v>
      </c>
      <c r="G101" s="111"/>
      <c r="H101" s="111"/>
      <c r="I101" s="89" t="s">
        <v>135</v>
      </c>
      <c r="J101" s="103"/>
      <c r="K101" s="103"/>
      <c r="L101" s="103"/>
      <c r="M101" s="103"/>
      <c r="N101" s="104"/>
      <c r="O101" s="105"/>
      <c r="P101" s="105"/>
      <c r="Q101" s="105"/>
      <c r="R101" s="105"/>
      <c r="S101" s="73"/>
      <c r="T101" s="73"/>
      <c r="U101" s="73"/>
      <c r="V101" s="73"/>
      <c r="W101" s="73"/>
      <c r="X101" s="73"/>
    </row>
    <row r="102" spans="2:24" s="66" customFormat="1" ht="112.5" hidden="1" thickBot="1" x14ac:dyDescent="0.35">
      <c r="B102" s="151" t="s">
        <v>140</v>
      </c>
      <c r="C102" s="111"/>
      <c r="D102" s="89" t="s">
        <v>119</v>
      </c>
      <c r="E102" s="89" t="s">
        <v>135</v>
      </c>
      <c r="F102" s="89" t="s">
        <v>141</v>
      </c>
      <c r="G102" s="111"/>
      <c r="H102" s="111"/>
      <c r="I102" s="89" t="s">
        <v>135</v>
      </c>
      <c r="J102" s="103">
        <f>J103</f>
        <v>300</v>
      </c>
      <c r="K102" s="103"/>
      <c r="L102" s="103">
        <f t="shared" ref="L102:R102" si="33">L103</f>
        <v>305</v>
      </c>
      <c r="M102" s="103">
        <f t="shared" si="33"/>
        <v>310</v>
      </c>
      <c r="N102" s="104">
        <f t="shared" si="33"/>
        <v>300</v>
      </c>
      <c r="O102" s="105">
        <f t="shared" si="33"/>
        <v>300</v>
      </c>
      <c r="P102" s="105">
        <f t="shared" si="33"/>
        <v>300</v>
      </c>
      <c r="Q102" s="105">
        <f t="shared" si="33"/>
        <v>300</v>
      </c>
      <c r="R102" s="105">
        <f t="shared" si="33"/>
        <v>300</v>
      </c>
      <c r="S102" s="73"/>
      <c r="T102" s="73"/>
      <c r="U102" s="73"/>
      <c r="V102" s="73"/>
      <c r="W102" s="73"/>
      <c r="X102" s="73"/>
    </row>
    <row r="103" spans="2:24" s="66" customFormat="1" ht="13.5" hidden="1" thickBot="1" x14ac:dyDescent="0.35">
      <c r="B103" s="92" t="s">
        <v>42</v>
      </c>
      <c r="C103" s="111"/>
      <c r="D103" s="89" t="s">
        <v>119</v>
      </c>
      <c r="E103" s="89" t="s">
        <v>135</v>
      </c>
      <c r="F103" s="89" t="s">
        <v>141</v>
      </c>
      <c r="G103" s="111" t="s">
        <v>65</v>
      </c>
      <c r="H103" s="111"/>
      <c r="I103" s="89" t="s">
        <v>135</v>
      </c>
      <c r="J103" s="99">
        <v>300</v>
      </c>
      <c r="K103" s="103"/>
      <c r="L103" s="99">
        <v>305</v>
      </c>
      <c r="M103" s="99">
        <v>310</v>
      </c>
      <c r="N103" s="108">
        <v>300</v>
      </c>
      <c r="O103" s="109">
        <v>300</v>
      </c>
      <c r="P103" s="109">
        <v>300</v>
      </c>
      <c r="Q103" s="109">
        <v>300</v>
      </c>
      <c r="R103" s="109">
        <v>300</v>
      </c>
      <c r="S103" s="73"/>
      <c r="T103" s="73"/>
      <c r="U103" s="73"/>
      <c r="V103" s="73"/>
      <c r="W103" s="73"/>
      <c r="X103" s="73"/>
    </row>
    <row r="104" spans="2:24" s="66" customFormat="1" ht="39.5" hidden="1" thickBot="1" x14ac:dyDescent="0.35">
      <c r="B104" s="100" t="s">
        <v>73</v>
      </c>
      <c r="C104" s="111"/>
      <c r="D104" s="110" t="s">
        <v>119</v>
      </c>
      <c r="E104" s="110" t="s">
        <v>135</v>
      </c>
      <c r="F104" s="110" t="s">
        <v>74</v>
      </c>
      <c r="G104" s="110"/>
      <c r="H104" s="110"/>
      <c r="I104" s="110" t="s">
        <v>135</v>
      </c>
      <c r="J104" s="103">
        <f>J105+J107+J109</f>
        <v>349.8</v>
      </c>
      <c r="K104" s="103"/>
      <c r="L104" s="103">
        <f t="shared" ref="L104:R104" si="34">L105+L107+L109</f>
        <v>64.8</v>
      </c>
      <c r="M104" s="103">
        <f t="shared" si="34"/>
        <v>64.8</v>
      </c>
      <c r="N104" s="104">
        <f t="shared" si="34"/>
        <v>349.8</v>
      </c>
      <c r="O104" s="105">
        <f t="shared" si="34"/>
        <v>349.8</v>
      </c>
      <c r="P104" s="105">
        <f t="shared" si="34"/>
        <v>349.8</v>
      </c>
      <c r="Q104" s="105">
        <f t="shared" si="34"/>
        <v>349.8</v>
      </c>
      <c r="R104" s="105">
        <f t="shared" si="34"/>
        <v>349.8</v>
      </c>
      <c r="S104" s="73"/>
      <c r="T104" s="73"/>
      <c r="U104" s="73"/>
      <c r="V104" s="73"/>
      <c r="W104" s="73"/>
      <c r="X104" s="73"/>
    </row>
    <row r="105" spans="2:24" s="66" customFormat="1" ht="13.5" hidden="1" thickBot="1" x14ac:dyDescent="0.35">
      <c r="B105" s="106" t="s">
        <v>142</v>
      </c>
      <c r="C105" s="111"/>
      <c r="D105" s="111" t="s">
        <v>119</v>
      </c>
      <c r="E105" s="111" t="s">
        <v>135</v>
      </c>
      <c r="F105" s="110" t="s">
        <v>143</v>
      </c>
      <c r="G105" s="110"/>
      <c r="H105" s="110"/>
      <c r="I105" s="111" t="s">
        <v>135</v>
      </c>
      <c r="J105" s="103">
        <f>J106</f>
        <v>195</v>
      </c>
      <c r="K105" s="103"/>
      <c r="L105" s="103">
        <f t="shared" ref="L105:R105" si="35">L106</f>
        <v>0</v>
      </c>
      <c r="M105" s="103">
        <f t="shared" si="35"/>
        <v>0</v>
      </c>
      <c r="N105" s="104">
        <f t="shared" si="35"/>
        <v>195</v>
      </c>
      <c r="O105" s="105">
        <f t="shared" si="35"/>
        <v>195</v>
      </c>
      <c r="P105" s="105">
        <f t="shared" si="35"/>
        <v>195</v>
      </c>
      <c r="Q105" s="105">
        <f t="shared" si="35"/>
        <v>195</v>
      </c>
      <c r="R105" s="105">
        <f t="shared" si="35"/>
        <v>195</v>
      </c>
      <c r="S105" s="73"/>
      <c r="T105" s="73"/>
      <c r="U105" s="73"/>
      <c r="V105" s="73"/>
      <c r="W105" s="73"/>
      <c r="X105" s="73"/>
    </row>
    <row r="106" spans="2:24" s="66" customFormat="1" ht="13.5" hidden="1" thickBot="1" x14ac:dyDescent="0.35">
      <c r="B106" s="92" t="s">
        <v>42</v>
      </c>
      <c r="C106" s="111"/>
      <c r="D106" s="111" t="s">
        <v>119</v>
      </c>
      <c r="E106" s="111" t="s">
        <v>135</v>
      </c>
      <c r="F106" s="111" t="s">
        <v>143</v>
      </c>
      <c r="G106" s="111" t="s">
        <v>65</v>
      </c>
      <c r="H106" s="111"/>
      <c r="I106" s="111" t="s">
        <v>135</v>
      </c>
      <c r="J106" s="99">
        <v>195</v>
      </c>
      <c r="K106" s="99"/>
      <c r="L106" s="99"/>
      <c r="M106" s="99"/>
      <c r="N106" s="108">
        <v>195</v>
      </c>
      <c r="O106" s="109">
        <v>195</v>
      </c>
      <c r="P106" s="109">
        <v>195</v>
      </c>
      <c r="Q106" s="109">
        <v>195</v>
      </c>
      <c r="R106" s="109">
        <v>195</v>
      </c>
      <c r="S106" s="73"/>
      <c r="T106" s="73"/>
      <c r="U106" s="73"/>
      <c r="V106" s="73"/>
      <c r="W106" s="73"/>
      <c r="X106" s="73"/>
    </row>
    <row r="107" spans="2:24" s="66" customFormat="1" ht="13.5" hidden="1" thickBot="1" x14ac:dyDescent="0.35">
      <c r="B107" s="106" t="s">
        <v>144</v>
      </c>
      <c r="C107" s="111"/>
      <c r="D107" s="111" t="s">
        <v>119</v>
      </c>
      <c r="E107" s="111" t="s">
        <v>135</v>
      </c>
      <c r="F107" s="110" t="s">
        <v>145</v>
      </c>
      <c r="G107" s="111"/>
      <c r="H107" s="111"/>
      <c r="I107" s="111" t="s">
        <v>135</v>
      </c>
      <c r="J107" s="103">
        <f>J108</f>
        <v>64.8</v>
      </c>
      <c r="K107" s="103"/>
      <c r="L107" s="103">
        <f t="shared" ref="L107:R107" si="36">L108</f>
        <v>64.8</v>
      </c>
      <c r="M107" s="103">
        <f t="shared" si="36"/>
        <v>64.8</v>
      </c>
      <c r="N107" s="104">
        <f t="shared" si="36"/>
        <v>64.8</v>
      </c>
      <c r="O107" s="105">
        <f t="shared" si="36"/>
        <v>64.8</v>
      </c>
      <c r="P107" s="105">
        <f t="shared" si="36"/>
        <v>64.8</v>
      </c>
      <c r="Q107" s="105">
        <f t="shared" si="36"/>
        <v>64.8</v>
      </c>
      <c r="R107" s="105">
        <f t="shared" si="36"/>
        <v>64.8</v>
      </c>
      <c r="S107" s="73"/>
      <c r="T107" s="73"/>
      <c r="U107" s="73"/>
      <c r="V107" s="73"/>
      <c r="W107" s="73"/>
      <c r="X107" s="73"/>
    </row>
    <row r="108" spans="2:24" s="66" customFormat="1" ht="13.5" hidden="1" thickBot="1" x14ac:dyDescent="0.35">
      <c r="B108" s="92" t="s">
        <v>42</v>
      </c>
      <c r="C108" s="111"/>
      <c r="D108" s="111" t="s">
        <v>119</v>
      </c>
      <c r="E108" s="111" t="s">
        <v>135</v>
      </c>
      <c r="F108" s="111" t="s">
        <v>145</v>
      </c>
      <c r="G108" s="111" t="s">
        <v>65</v>
      </c>
      <c r="H108" s="111"/>
      <c r="I108" s="111" t="s">
        <v>135</v>
      </c>
      <c r="J108" s="99">
        <v>64.8</v>
      </c>
      <c r="K108" s="99"/>
      <c r="L108" s="99">
        <v>64.8</v>
      </c>
      <c r="M108" s="99">
        <v>64.8</v>
      </c>
      <c r="N108" s="108">
        <v>64.8</v>
      </c>
      <c r="O108" s="109">
        <v>64.8</v>
      </c>
      <c r="P108" s="109">
        <v>64.8</v>
      </c>
      <c r="Q108" s="109">
        <v>64.8</v>
      </c>
      <c r="R108" s="109">
        <v>64.8</v>
      </c>
      <c r="S108" s="73"/>
      <c r="T108" s="73"/>
      <c r="U108" s="73"/>
      <c r="V108" s="73"/>
      <c r="W108" s="73"/>
      <c r="X108" s="73"/>
    </row>
    <row r="109" spans="2:24" s="66" customFormat="1" ht="26.5" hidden="1" thickBot="1" x14ac:dyDescent="0.35">
      <c r="B109" s="106" t="s">
        <v>146</v>
      </c>
      <c r="C109" s="111"/>
      <c r="D109" s="111" t="s">
        <v>119</v>
      </c>
      <c r="E109" s="111" t="s">
        <v>135</v>
      </c>
      <c r="F109" s="110" t="s">
        <v>147</v>
      </c>
      <c r="G109" s="111"/>
      <c r="H109" s="111"/>
      <c r="I109" s="111" t="s">
        <v>135</v>
      </c>
      <c r="J109" s="103">
        <f>J110</f>
        <v>90</v>
      </c>
      <c r="K109" s="103"/>
      <c r="L109" s="103">
        <f t="shared" ref="L109:R109" si="37">L110</f>
        <v>0</v>
      </c>
      <c r="M109" s="103">
        <f t="shared" si="37"/>
        <v>0</v>
      </c>
      <c r="N109" s="104">
        <f t="shared" si="37"/>
        <v>90</v>
      </c>
      <c r="O109" s="105">
        <f t="shared" si="37"/>
        <v>90</v>
      </c>
      <c r="P109" s="105">
        <f t="shared" si="37"/>
        <v>90</v>
      </c>
      <c r="Q109" s="105">
        <f t="shared" si="37"/>
        <v>90</v>
      </c>
      <c r="R109" s="105">
        <f t="shared" si="37"/>
        <v>90</v>
      </c>
      <c r="S109" s="73"/>
      <c r="T109" s="73"/>
      <c r="U109" s="73"/>
      <c r="V109" s="73"/>
      <c r="W109" s="73"/>
      <c r="X109" s="73"/>
    </row>
    <row r="110" spans="2:24" s="66" customFormat="1" ht="13.5" hidden="1" thickBot="1" x14ac:dyDescent="0.35">
      <c r="B110" s="92" t="s">
        <v>42</v>
      </c>
      <c r="C110" s="111"/>
      <c r="D110" s="111" t="s">
        <v>119</v>
      </c>
      <c r="E110" s="111" t="s">
        <v>135</v>
      </c>
      <c r="F110" s="111" t="s">
        <v>147</v>
      </c>
      <c r="G110" s="111" t="s">
        <v>65</v>
      </c>
      <c r="H110" s="111"/>
      <c r="I110" s="111" t="s">
        <v>135</v>
      </c>
      <c r="J110" s="99">
        <v>90</v>
      </c>
      <c r="K110" s="103"/>
      <c r="L110" s="103"/>
      <c r="M110" s="103"/>
      <c r="N110" s="108">
        <v>90</v>
      </c>
      <c r="O110" s="109">
        <v>90</v>
      </c>
      <c r="P110" s="109">
        <v>90</v>
      </c>
      <c r="Q110" s="109">
        <v>90</v>
      </c>
      <c r="R110" s="109">
        <v>90</v>
      </c>
      <c r="S110" s="73"/>
      <c r="T110" s="73"/>
      <c r="U110" s="73"/>
      <c r="V110" s="73"/>
      <c r="W110" s="73"/>
      <c r="X110" s="73"/>
    </row>
    <row r="111" spans="2:24" s="66" customFormat="1" ht="14.5" hidden="1" thickBot="1" x14ac:dyDescent="0.35">
      <c r="B111" s="126" t="s">
        <v>148</v>
      </c>
      <c r="C111" s="123"/>
      <c r="D111" s="123" t="s">
        <v>149</v>
      </c>
      <c r="E111" s="121"/>
      <c r="F111" s="121"/>
      <c r="G111" s="121"/>
      <c r="H111" s="121"/>
      <c r="I111" s="121"/>
      <c r="J111" s="152">
        <f>J112+J123+J136+J145</f>
        <v>22021.318999999996</v>
      </c>
      <c r="K111" s="127"/>
      <c r="L111" s="152">
        <f t="shared" ref="L111:R111" si="38">L112+L123+L136+L145</f>
        <v>27710.55</v>
      </c>
      <c r="M111" s="152">
        <f t="shared" si="38"/>
        <v>26064.505000000001</v>
      </c>
      <c r="N111" s="128">
        <f t="shared" si="38"/>
        <v>22021.318999999996</v>
      </c>
      <c r="O111" s="129">
        <f t="shared" si="38"/>
        <v>22021.318999999996</v>
      </c>
      <c r="P111" s="129">
        <f t="shared" si="38"/>
        <v>22021.318999999996</v>
      </c>
      <c r="Q111" s="129">
        <f t="shared" si="38"/>
        <v>22021.318999999996</v>
      </c>
      <c r="R111" s="129">
        <f t="shared" si="38"/>
        <v>22021.318999999996</v>
      </c>
      <c r="S111" s="73"/>
      <c r="T111" s="73"/>
      <c r="U111" s="73"/>
      <c r="V111" s="73"/>
      <c r="W111" s="73"/>
      <c r="X111" s="73"/>
    </row>
    <row r="112" spans="2:24" ht="13.5" hidden="1" thickBot="1" x14ac:dyDescent="0.3">
      <c r="B112" s="100" t="s">
        <v>150</v>
      </c>
      <c r="C112" s="110"/>
      <c r="D112" s="110" t="s">
        <v>149</v>
      </c>
      <c r="E112" s="110" t="s">
        <v>151</v>
      </c>
      <c r="F112" s="111"/>
      <c r="G112" s="111"/>
      <c r="H112" s="111"/>
      <c r="I112" s="110" t="s">
        <v>151</v>
      </c>
      <c r="J112" s="95">
        <f>J113+J118</f>
        <v>9048</v>
      </c>
      <c r="K112" s="95"/>
      <c r="L112" s="95">
        <f t="shared" ref="L112:R112" si="39">L113+L118</f>
        <v>10000</v>
      </c>
      <c r="M112" s="95">
        <f t="shared" si="39"/>
        <v>10000</v>
      </c>
      <c r="N112" s="108">
        <f t="shared" si="39"/>
        <v>9048</v>
      </c>
      <c r="O112" s="109">
        <f t="shared" si="39"/>
        <v>9048</v>
      </c>
      <c r="P112" s="109">
        <f t="shared" si="39"/>
        <v>9048</v>
      </c>
      <c r="Q112" s="109">
        <f t="shared" si="39"/>
        <v>9048</v>
      </c>
      <c r="R112" s="109">
        <f t="shared" si="39"/>
        <v>9048</v>
      </c>
    </row>
    <row r="113" spans="1:256" s="10" customFormat="1" ht="53.5" hidden="1" customHeight="1" x14ac:dyDescent="0.25">
      <c r="A113" s="1"/>
      <c r="B113" s="153" t="s">
        <v>152</v>
      </c>
      <c r="C113" s="110"/>
      <c r="D113" s="60" t="s">
        <v>149</v>
      </c>
      <c r="E113" s="110" t="s">
        <v>151</v>
      </c>
      <c r="F113" s="110" t="s">
        <v>153</v>
      </c>
      <c r="G113" s="132"/>
      <c r="H113" s="132"/>
      <c r="I113" s="110" t="s">
        <v>151</v>
      </c>
      <c r="J113" s="132"/>
      <c r="K113" s="132"/>
      <c r="L113" s="1"/>
      <c r="M113" s="154"/>
      <c r="N113" s="104"/>
      <c r="O113" s="134"/>
      <c r="P113" s="134"/>
      <c r="Q113" s="135"/>
      <c r="R113" s="135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10" customFormat="1" ht="65.5" hidden="1" thickBot="1" x14ac:dyDescent="0.35">
      <c r="A114" s="1"/>
      <c r="B114" s="155" t="s">
        <v>154</v>
      </c>
      <c r="C114" s="111"/>
      <c r="D114" s="101" t="s">
        <v>149</v>
      </c>
      <c r="E114" s="111" t="s">
        <v>151</v>
      </c>
      <c r="F114" s="111" t="s">
        <v>155</v>
      </c>
      <c r="G114" s="111"/>
      <c r="H114" s="111"/>
      <c r="I114" s="111" t="s">
        <v>151</v>
      </c>
      <c r="J114" s="85"/>
      <c r="K114" s="85"/>
      <c r="L114" s="85"/>
      <c r="M114" s="85"/>
      <c r="N114" s="86"/>
      <c r="O114" s="87"/>
      <c r="P114" s="87"/>
      <c r="Q114" s="87"/>
      <c r="R114" s="87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10" customFormat="1" ht="81.650000000000006" hidden="1" customHeight="1" x14ac:dyDescent="0.3">
      <c r="A115" s="1"/>
      <c r="B115" s="156" t="s">
        <v>156</v>
      </c>
      <c r="C115" s="111"/>
      <c r="D115" s="101" t="s">
        <v>149</v>
      </c>
      <c r="E115" s="111" t="s">
        <v>151</v>
      </c>
      <c r="F115" s="111" t="s">
        <v>157</v>
      </c>
      <c r="G115" s="111"/>
      <c r="H115" s="111"/>
      <c r="I115" s="111" t="s">
        <v>151</v>
      </c>
      <c r="J115" s="85"/>
      <c r="K115" s="85"/>
      <c r="L115" s="85"/>
      <c r="M115" s="85"/>
      <c r="N115" s="86"/>
      <c r="O115" s="87"/>
      <c r="P115" s="87"/>
      <c r="Q115" s="87"/>
      <c r="R115" s="87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10" customFormat="1" ht="81" hidden="1" customHeight="1" x14ac:dyDescent="0.3">
      <c r="A116" s="1"/>
      <c r="B116" s="155" t="s">
        <v>158</v>
      </c>
      <c r="C116" s="111"/>
      <c r="D116" s="101" t="s">
        <v>149</v>
      </c>
      <c r="E116" s="111" t="s">
        <v>151</v>
      </c>
      <c r="F116" s="111" t="s">
        <v>159</v>
      </c>
      <c r="G116" s="111"/>
      <c r="H116" s="111"/>
      <c r="I116" s="111" t="s">
        <v>151</v>
      </c>
      <c r="J116" s="103"/>
      <c r="K116" s="103"/>
      <c r="L116" s="103"/>
      <c r="M116" s="103"/>
      <c r="N116" s="104"/>
      <c r="O116" s="105"/>
      <c r="P116" s="105"/>
      <c r="Q116" s="105"/>
      <c r="R116" s="105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0" customFormat="1" ht="65.5" hidden="1" thickBot="1" x14ac:dyDescent="0.35">
      <c r="A117" s="1"/>
      <c r="B117" s="156" t="s">
        <v>160</v>
      </c>
      <c r="C117" s="111"/>
      <c r="D117" s="101" t="s">
        <v>149</v>
      </c>
      <c r="E117" s="111" t="s">
        <v>151</v>
      </c>
      <c r="F117" s="111" t="s">
        <v>161</v>
      </c>
      <c r="G117" s="111"/>
      <c r="H117" s="111"/>
      <c r="I117" s="111" t="s">
        <v>151</v>
      </c>
      <c r="J117" s="103"/>
      <c r="K117" s="103"/>
      <c r="L117" s="103"/>
      <c r="M117" s="103"/>
      <c r="N117" s="104"/>
      <c r="O117" s="105"/>
      <c r="P117" s="105"/>
      <c r="Q117" s="105"/>
      <c r="R117" s="105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0" customFormat="1" ht="39.65" hidden="1" customHeight="1" x14ac:dyDescent="0.25">
      <c r="A118" s="1"/>
      <c r="B118" s="100" t="s">
        <v>73</v>
      </c>
      <c r="C118" s="111"/>
      <c r="D118" s="110" t="s">
        <v>149</v>
      </c>
      <c r="E118" s="110" t="s">
        <v>151</v>
      </c>
      <c r="F118" s="110" t="s">
        <v>74</v>
      </c>
      <c r="G118" s="157"/>
      <c r="H118" s="157"/>
      <c r="I118" s="110" t="s">
        <v>151</v>
      </c>
      <c r="J118" s="158">
        <f>J119+J121</f>
        <v>9048</v>
      </c>
      <c r="K118" s="159"/>
      <c r="L118" s="158">
        <f t="shared" ref="L118:R118" si="40">L119+L121</f>
        <v>10000</v>
      </c>
      <c r="M118" s="158">
        <f t="shared" si="40"/>
        <v>10000</v>
      </c>
      <c r="N118" s="108">
        <f t="shared" si="40"/>
        <v>9048</v>
      </c>
      <c r="O118" s="160">
        <f t="shared" si="40"/>
        <v>9048</v>
      </c>
      <c r="P118" s="160">
        <f t="shared" si="40"/>
        <v>9048</v>
      </c>
      <c r="Q118" s="161">
        <f t="shared" si="40"/>
        <v>9048</v>
      </c>
      <c r="R118" s="161">
        <f t="shared" si="40"/>
        <v>9048</v>
      </c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10" customFormat="1" ht="26.5" hidden="1" thickBot="1" x14ac:dyDescent="0.3">
      <c r="A119" s="1"/>
      <c r="B119" s="162" t="s">
        <v>162</v>
      </c>
      <c r="C119" s="111"/>
      <c r="D119" s="111" t="s">
        <v>149</v>
      </c>
      <c r="E119" s="111" t="s">
        <v>151</v>
      </c>
      <c r="F119" s="111" t="s">
        <v>163</v>
      </c>
      <c r="G119" s="157"/>
      <c r="H119" s="157"/>
      <c r="I119" s="111" t="s">
        <v>151</v>
      </c>
      <c r="J119" s="158">
        <f>J120</f>
        <v>420</v>
      </c>
      <c r="K119" s="159"/>
      <c r="L119" s="158">
        <f t="shared" ref="L119:R119" si="41">L120</f>
        <v>0</v>
      </c>
      <c r="M119" s="158">
        <f t="shared" si="41"/>
        <v>0</v>
      </c>
      <c r="N119" s="108">
        <f t="shared" si="41"/>
        <v>420</v>
      </c>
      <c r="O119" s="160">
        <f t="shared" si="41"/>
        <v>420</v>
      </c>
      <c r="P119" s="160">
        <f t="shared" si="41"/>
        <v>420</v>
      </c>
      <c r="Q119" s="161">
        <f t="shared" si="41"/>
        <v>420</v>
      </c>
      <c r="R119" s="161">
        <f t="shared" si="41"/>
        <v>420</v>
      </c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10" customFormat="1" ht="13.5" hidden="1" thickBot="1" x14ac:dyDescent="0.35">
      <c r="A120" s="1"/>
      <c r="B120" s="92" t="s">
        <v>42</v>
      </c>
      <c r="C120" s="111"/>
      <c r="D120" s="111" t="s">
        <v>149</v>
      </c>
      <c r="E120" s="111" t="s">
        <v>151</v>
      </c>
      <c r="F120" s="111" t="s">
        <v>163</v>
      </c>
      <c r="G120" s="111" t="s">
        <v>65</v>
      </c>
      <c r="H120" s="111"/>
      <c r="I120" s="111" t="s">
        <v>151</v>
      </c>
      <c r="J120" s="163">
        <v>420</v>
      </c>
      <c r="K120" s="164"/>
      <c r="L120" s="165"/>
      <c r="M120" s="166"/>
      <c r="N120" s="167">
        <v>420</v>
      </c>
      <c r="O120" s="168">
        <v>420</v>
      </c>
      <c r="P120" s="168">
        <v>420</v>
      </c>
      <c r="Q120" s="168">
        <v>420</v>
      </c>
      <c r="R120" s="168">
        <v>420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10" customFormat="1" ht="18.75" hidden="1" customHeight="1" x14ac:dyDescent="0.25">
      <c r="A121" s="1"/>
      <c r="B121" s="162" t="s">
        <v>164</v>
      </c>
      <c r="C121" s="111"/>
      <c r="D121" s="111" t="s">
        <v>149</v>
      </c>
      <c r="E121" s="111" t="s">
        <v>151</v>
      </c>
      <c r="F121" s="111" t="s">
        <v>165</v>
      </c>
      <c r="G121" s="157"/>
      <c r="H121" s="157"/>
      <c r="I121" s="111" t="s">
        <v>151</v>
      </c>
      <c r="J121" s="163">
        <f>J122</f>
        <v>8628</v>
      </c>
      <c r="K121" s="158"/>
      <c r="L121" s="163">
        <f t="shared" ref="L121:R121" si="42">L122</f>
        <v>10000</v>
      </c>
      <c r="M121" s="163">
        <f t="shared" si="42"/>
        <v>10000</v>
      </c>
      <c r="N121" s="167">
        <f t="shared" si="42"/>
        <v>8628</v>
      </c>
      <c r="O121" s="168">
        <f t="shared" si="42"/>
        <v>8628</v>
      </c>
      <c r="P121" s="168">
        <f t="shared" si="42"/>
        <v>8628</v>
      </c>
      <c r="Q121" s="168">
        <f t="shared" si="42"/>
        <v>8628</v>
      </c>
      <c r="R121" s="168">
        <f t="shared" si="42"/>
        <v>8628</v>
      </c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10" customFormat="1" ht="25.9" hidden="1" customHeight="1" x14ac:dyDescent="0.3">
      <c r="A122" s="1"/>
      <c r="B122" s="169" t="s">
        <v>166</v>
      </c>
      <c r="C122" s="111"/>
      <c r="D122" s="111" t="s">
        <v>149</v>
      </c>
      <c r="E122" s="111" t="s">
        <v>151</v>
      </c>
      <c r="F122" s="111" t="s">
        <v>165</v>
      </c>
      <c r="G122" s="111" t="s">
        <v>167</v>
      </c>
      <c r="H122" s="111"/>
      <c r="I122" s="111" t="s">
        <v>151</v>
      </c>
      <c r="J122" s="170">
        <v>8628</v>
      </c>
      <c r="K122" s="171"/>
      <c r="L122" s="172">
        <v>10000</v>
      </c>
      <c r="M122" s="173">
        <v>10000</v>
      </c>
      <c r="N122" s="174">
        <v>8628</v>
      </c>
      <c r="O122" s="175">
        <v>8628</v>
      </c>
      <c r="P122" s="175">
        <v>8628</v>
      </c>
      <c r="Q122" s="175">
        <v>8628</v>
      </c>
      <c r="R122" s="175">
        <v>8628</v>
      </c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10" customFormat="1" ht="13.5" hidden="1" thickBot="1" x14ac:dyDescent="0.3">
      <c r="A123" s="1"/>
      <c r="B123" s="100" t="s">
        <v>168</v>
      </c>
      <c r="C123" s="110"/>
      <c r="D123" s="110" t="s">
        <v>149</v>
      </c>
      <c r="E123" s="110" t="s">
        <v>169</v>
      </c>
      <c r="F123" s="111"/>
      <c r="G123" s="111"/>
      <c r="H123" s="111"/>
      <c r="I123" s="110" t="s">
        <v>169</v>
      </c>
      <c r="J123" s="102">
        <f>J124+J131</f>
        <v>1214.55</v>
      </c>
      <c r="K123" s="103"/>
      <c r="L123" s="176">
        <f t="shared" ref="L123:R123" si="43">L124+L131</f>
        <v>4085</v>
      </c>
      <c r="M123" s="103">
        <f t="shared" si="43"/>
        <v>85</v>
      </c>
      <c r="N123" s="104">
        <f t="shared" si="43"/>
        <v>1214.55</v>
      </c>
      <c r="O123" s="105">
        <f t="shared" si="43"/>
        <v>1214.55</v>
      </c>
      <c r="P123" s="105">
        <f t="shared" si="43"/>
        <v>1214.55</v>
      </c>
      <c r="Q123" s="105">
        <f t="shared" si="43"/>
        <v>1214.55</v>
      </c>
      <c r="R123" s="105">
        <f t="shared" si="43"/>
        <v>1214.55</v>
      </c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10" customFormat="1" ht="58.15" hidden="1" customHeight="1" x14ac:dyDescent="0.25">
      <c r="A124" s="1"/>
      <c r="B124" s="177" t="s">
        <v>170</v>
      </c>
      <c r="C124" s="110"/>
      <c r="D124" s="60" t="s">
        <v>149</v>
      </c>
      <c r="E124" s="110" t="s">
        <v>169</v>
      </c>
      <c r="F124" s="110" t="s">
        <v>171</v>
      </c>
      <c r="G124" s="132"/>
      <c r="H124" s="132"/>
      <c r="I124" s="110" t="s">
        <v>169</v>
      </c>
      <c r="J124" s="178">
        <f>J125</f>
        <v>1129.55</v>
      </c>
      <c r="K124" s="133"/>
      <c r="L124" s="178">
        <f t="shared" ref="L124:R125" si="44">L125</f>
        <v>4000</v>
      </c>
      <c r="M124" s="178">
        <f t="shared" si="44"/>
        <v>0</v>
      </c>
      <c r="N124" s="179">
        <f t="shared" si="44"/>
        <v>1129.55</v>
      </c>
      <c r="O124" s="180">
        <f t="shared" si="44"/>
        <v>1129.55</v>
      </c>
      <c r="P124" s="180">
        <f t="shared" si="44"/>
        <v>1129.55</v>
      </c>
      <c r="Q124" s="181">
        <f t="shared" si="44"/>
        <v>1129.55</v>
      </c>
      <c r="R124" s="181">
        <f t="shared" si="44"/>
        <v>1129.55</v>
      </c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0" customFormat="1" ht="78.5" hidden="1" thickBot="1" x14ac:dyDescent="0.3">
      <c r="A125" s="1"/>
      <c r="B125" s="162" t="s">
        <v>172</v>
      </c>
      <c r="C125" s="111"/>
      <c r="D125" s="101" t="s">
        <v>149</v>
      </c>
      <c r="E125" s="111" t="s">
        <v>169</v>
      </c>
      <c r="F125" s="111" t="s">
        <v>173</v>
      </c>
      <c r="G125" s="111"/>
      <c r="H125" s="111"/>
      <c r="I125" s="111" t="s">
        <v>169</v>
      </c>
      <c r="J125" s="176">
        <f>J126</f>
        <v>1129.55</v>
      </c>
      <c r="K125" s="176"/>
      <c r="L125" s="176">
        <f t="shared" si="44"/>
        <v>4000</v>
      </c>
      <c r="M125" s="103">
        <f t="shared" si="44"/>
        <v>0</v>
      </c>
      <c r="N125" s="104">
        <f t="shared" si="44"/>
        <v>1129.55</v>
      </c>
      <c r="O125" s="105">
        <f t="shared" si="44"/>
        <v>1129.55</v>
      </c>
      <c r="P125" s="105">
        <f t="shared" si="44"/>
        <v>1129.55</v>
      </c>
      <c r="Q125" s="105">
        <f t="shared" si="44"/>
        <v>1129.55</v>
      </c>
      <c r="R125" s="105">
        <f t="shared" si="44"/>
        <v>1129.55</v>
      </c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0" customFormat="1" ht="26.5" hidden="1" thickBot="1" x14ac:dyDescent="0.3">
      <c r="A126" s="1"/>
      <c r="B126" s="162" t="s">
        <v>174</v>
      </c>
      <c r="C126" s="111"/>
      <c r="D126" s="101" t="s">
        <v>149</v>
      </c>
      <c r="E126" s="111" t="s">
        <v>169</v>
      </c>
      <c r="F126" s="111" t="s">
        <v>173</v>
      </c>
      <c r="G126" s="111" t="s">
        <v>175</v>
      </c>
      <c r="H126" s="111"/>
      <c r="I126" s="111" t="s">
        <v>169</v>
      </c>
      <c r="J126" s="107">
        <v>1129.55</v>
      </c>
      <c r="K126" s="176"/>
      <c r="L126" s="107">
        <v>4000</v>
      </c>
      <c r="M126" s="103"/>
      <c r="N126" s="108">
        <v>1129.55</v>
      </c>
      <c r="O126" s="109">
        <v>1129.55</v>
      </c>
      <c r="P126" s="109">
        <v>1129.55</v>
      </c>
      <c r="Q126" s="109">
        <v>1129.55</v>
      </c>
      <c r="R126" s="109">
        <v>1129.55</v>
      </c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0" customFormat="1" ht="52.5" hidden="1" thickBot="1" x14ac:dyDescent="0.3">
      <c r="A127" s="1"/>
      <c r="B127" s="162" t="s">
        <v>176</v>
      </c>
      <c r="C127" s="111"/>
      <c r="D127" s="101" t="s">
        <v>149</v>
      </c>
      <c r="E127" s="111" t="s">
        <v>169</v>
      </c>
      <c r="F127" s="111" t="s">
        <v>177</v>
      </c>
      <c r="G127" s="111"/>
      <c r="H127" s="111"/>
      <c r="I127" s="111" t="s">
        <v>169</v>
      </c>
      <c r="J127" s="103"/>
      <c r="K127" s="103"/>
      <c r="L127" s="103"/>
      <c r="M127" s="103"/>
      <c r="N127" s="104"/>
      <c r="O127" s="105"/>
      <c r="P127" s="105"/>
      <c r="Q127" s="105"/>
      <c r="R127" s="105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0" customFormat="1" ht="42.75" hidden="1" customHeight="1" x14ac:dyDescent="0.25">
      <c r="A128" s="1"/>
      <c r="B128" s="177" t="s">
        <v>178</v>
      </c>
      <c r="C128" s="110"/>
      <c r="D128" s="60" t="s">
        <v>149</v>
      </c>
      <c r="E128" s="110" t="s">
        <v>169</v>
      </c>
      <c r="F128" s="110" t="s">
        <v>179</v>
      </c>
      <c r="G128" s="132"/>
      <c r="H128" s="132"/>
      <c r="I128" s="110" t="s">
        <v>169</v>
      </c>
      <c r="J128" s="132"/>
      <c r="K128" s="182"/>
      <c r="L128" s="1"/>
      <c r="M128" s="154"/>
      <c r="N128" s="104"/>
      <c r="O128" s="134"/>
      <c r="P128" s="134"/>
      <c r="Q128" s="135"/>
      <c r="R128" s="135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10" customFormat="1" ht="72.75" hidden="1" customHeight="1" x14ac:dyDescent="0.25">
      <c r="A129" s="1"/>
      <c r="B129" s="106" t="s">
        <v>180</v>
      </c>
      <c r="C129" s="111"/>
      <c r="D129" s="101" t="s">
        <v>149</v>
      </c>
      <c r="E129" s="111" t="s">
        <v>169</v>
      </c>
      <c r="F129" s="111" t="s">
        <v>181</v>
      </c>
      <c r="G129" s="111"/>
      <c r="H129" s="111"/>
      <c r="I129" s="111" t="s">
        <v>169</v>
      </c>
      <c r="J129" s="103"/>
      <c r="K129" s="103"/>
      <c r="L129" s="103"/>
      <c r="M129" s="103"/>
      <c r="N129" s="104"/>
      <c r="O129" s="105"/>
      <c r="P129" s="105"/>
      <c r="Q129" s="105"/>
      <c r="R129" s="105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10" customFormat="1" ht="57" hidden="1" customHeight="1" x14ac:dyDescent="0.25">
      <c r="A130" s="1"/>
      <c r="B130" s="162" t="s">
        <v>182</v>
      </c>
      <c r="C130" s="110"/>
      <c r="D130" s="101" t="s">
        <v>149</v>
      </c>
      <c r="E130" s="111" t="s">
        <v>169</v>
      </c>
      <c r="F130" s="111" t="s">
        <v>183</v>
      </c>
      <c r="G130" s="111"/>
      <c r="H130" s="111"/>
      <c r="I130" s="111" t="s">
        <v>169</v>
      </c>
      <c r="J130" s="103"/>
      <c r="K130" s="103"/>
      <c r="L130" s="103"/>
      <c r="M130" s="103"/>
      <c r="N130" s="104"/>
      <c r="O130" s="105"/>
      <c r="P130" s="105"/>
      <c r="Q130" s="105"/>
      <c r="R130" s="105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10" customFormat="1" ht="39.65" hidden="1" customHeight="1" x14ac:dyDescent="0.25">
      <c r="A131" s="1"/>
      <c r="B131" s="100" t="s">
        <v>73</v>
      </c>
      <c r="C131" s="111"/>
      <c r="D131" s="110" t="s">
        <v>149</v>
      </c>
      <c r="E131" s="110" t="s">
        <v>169</v>
      </c>
      <c r="F131" s="110" t="s">
        <v>74</v>
      </c>
      <c r="G131" s="157"/>
      <c r="H131" s="157"/>
      <c r="I131" s="110" t="s">
        <v>169</v>
      </c>
      <c r="J131" s="133">
        <f>J132</f>
        <v>85</v>
      </c>
      <c r="K131" s="133"/>
      <c r="L131" s="133">
        <f t="shared" ref="L131:R131" si="45">L132</f>
        <v>85</v>
      </c>
      <c r="M131" s="133">
        <f t="shared" si="45"/>
        <v>85</v>
      </c>
      <c r="N131" s="104">
        <f t="shared" si="45"/>
        <v>85</v>
      </c>
      <c r="O131" s="134">
        <f t="shared" si="45"/>
        <v>85</v>
      </c>
      <c r="P131" s="134">
        <f t="shared" si="45"/>
        <v>85</v>
      </c>
      <c r="Q131" s="135">
        <f t="shared" si="45"/>
        <v>85</v>
      </c>
      <c r="R131" s="135">
        <f t="shared" si="45"/>
        <v>85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0" customFormat="1" ht="43.5" hidden="1" customHeight="1" x14ac:dyDescent="0.25">
      <c r="A132" s="1"/>
      <c r="B132" s="106" t="s">
        <v>184</v>
      </c>
      <c r="C132" s="111"/>
      <c r="D132" s="111" t="s">
        <v>149</v>
      </c>
      <c r="E132" s="111" t="s">
        <v>169</v>
      </c>
      <c r="F132" s="111" t="s">
        <v>185</v>
      </c>
      <c r="G132" s="157"/>
      <c r="H132" s="157"/>
      <c r="I132" s="111" t="s">
        <v>169</v>
      </c>
      <c r="J132" s="158">
        <f>J135</f>
        <v>85</v>
      </c>
      <c r="K132" s="158"/>
      <c r="L132" s="158">
        <f t="shared" ref="L132:R132" si="46">L135</f>
        <v>85</v>
      </c>
      <c r="M132" s="158">
        <f t="shared" si="46"/>
        <v>85</v>
      </c>
      <c r="N132" s="108">
        <f t="shared" si="46"/>
        <v>85</v>
      </c>
      <c r="O132" s="160">
        <f t="shared" si="46"/>
        <v>85</v>
      </c>
      <c r="P132" s="160">
        <f t="shared" si="46"/>
        <v>85</v>
      </c>
      <c r="Q132" s="161">
        <f t="shared" si="46"/>
        <v>85</v>
      </c>
      <c r="R132" s="161">
        <f t="shared" si="46"/>
        <v>85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10" customFormat="1" ht="60.75" hidden="1" customHeight="1" x14ac:dyDescent="0.25">
      <c r="A133" s="1"/>
      <c r="B133" s="114" t="s">
        <v>186</v>
      </c>
      <c r="C133" s="138"/>
      <c r="D133" s="138" t="s">
        <v>149</v>
      </c>
      <c r="E133" s="138" t="s">
        <v>169</v>
      </c>
      <c r="F133" s="138" t="s">
        <v>187</v>
      </c>
      <c r="G133" s="183" t="s">
        <v>188</v>
      </c>
      <c r="H133" s="184"/>
      <c r="I133" s="184"/>
      <c r="J133" s="185"/>
      <c r="K133" s="186"/>
      <c r="L133" s="1"/>
      <c r="M133" s="1"/>
      <c r="N133" s="6"/>
      <c r="O133" s="50"/>
      <c r="P133" s="50"/>
      <c r="Q133" s="51"/>
      <c r="R133" s="5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10" customFormat="1" ht="48" hidden="1" customHeight="1" x14ac:dyDescent="0.25">
      <c r="A134" s="1"/>
      <c r="B134" s="114" t="s">
        <v>189</v>
      </c>
      <c r="C134" s="138"/>
      <c r="D134" s="138" t="s">
        <v>149</v>
      </c>
      <c r="E134" s="138" t="s">
        <v>169</v>
      </c>
      <c r="F134" s="138" t="s">
        <v>190</v>
      </c>
      <c r="G134" s="187" t="s">
        <v>191</v>
      </c>
      <c r="H134" s="188"/>
      <c r="I134" s="188"/>
      <c r="J134" s="189"/>
      <c r="K134" s="186"/>
      <c r="L134" s="1"/>
      <c r="M134" s="1"/>
      <c r="N134" s="6"/>
      <c r="O134" s="50"/>
      <c r="P134" s="50"/>
      <c r="Q134" s="51"/>
      <c r="R134" s="5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10" customFormat="1" ht="16.899999999999999" hidden="1" customHeight="1" x14ac:dyDescent="0.3">
      <c r="A135" s="1"/>
      <c r="B135" s="92" t="s">
        <v>42</v>
      </c>
      <c r="C135" s="138"/>
      <c r="D135" s="111" t="s">
        <v>149</v>
      </c>
      <c r="E135" s="111" t="s">
        <v>169</v>
      </c>
      <c r="F135" s="111" t="s">
        <v>185</v>
      </c>
      <c r="G135" s="89" t="s">
        <v>65</v>
      </c>
      <c r="H135" s="89"/>
      <c r="I135" s="111" t="s">
        <v>169</v>
      </c>
      <c r="J135" s="190">
        <v>85</v>
      </c>
      <c r="K135" s="191"/>
      <c r="L135" s="192">
        <v>85</v>
      </c>
      <c r="M135" s="190">
        <v>85</v>
      </c>
      <c r="N135" s="193">
        <v>85</v>
      </c>
      <c r="O135" s="194">
        <v>85</v>
      </c>
      <c r="P135" s="194">
        <v>85</v>
      </c>
      <c r="Q135" s="194">
        <v>85</v>
      </c>
      <c r="R135" s="194">
        <v>85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10" customFormat="1" ht="20.25" hidden="1" customHeight="1" x14ac:dyDescent="0.25">
      <c r="A136" s="1"/>
      <c r="B136" s="100" t="s">
        <v>192</v>
      </c>
      <c r="C136" s="111"/>
      <c r="D136" s="110" t="s">
        <v>149</v>
      </c>
      <c r="E136" s="110" t="s">
        <v>193</v>
      </c>
      <c r="F136" s="111"/>
      <c r="G136" s="111"/>
      <c r="H136" s="111"/>
      <c r="I136" s="110" t="s">
        <v>193</v>
      </c>
      <c r="J136" s="195">
        <f>J137+J140</f>
        <v>11758.768999999998</v>
      </c>
      <c r="K136" s="103"/>
      <c r="L136" s="195">
        <f t="shared" ref="L136:R136" si="47">L137+L140</f>
        <v>13625.55</v>
      </c>
      <c r="M136" s="195">
        <f t="shared" si="47"/>
        <v>15979.505000000001</v>
      </c>
      <c r="N136" s="104">
        <f t="shared" si="47"/>
        <v>11758.768999999998</v>
      </c>
      <c r="O136" s="196">
        <f t="shared" si="47"/>
        <v>11758.768999999998</v>
      </c>
      <c r="P136" s="196">
        <f t="shared" si="47"/>
        <v>11758.768999999998</v>
      </c>
      <c r="Q136" s="105">
        <f t="shared" si="47"/>
        <v>11758.768999999998</v>
      </c>
      <c r="R136" s="105">
        <f t="shared" si="47"/>
        <v>11758.768999999998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10" customFormat="1" ht="55.15" hidden="1" customHeight="1" x14ac:dyDescent="0.25">
      <c r="A137" s="1"/>
      <c r="B137" s="197" t="s">
        <v>194</v>
      </c>
      <c r="C137" s="110"/>
      <c r="D137" s="60" t="s">
        <v>149</v>
      </c>
      <c r="E137" s="110" t="s">
        <v>193</v>
      </c>
      <c r="F137" s="110" t="s">
        <v>195</v>
      </c>
      <c r="G137" s="132"/>
      <c r="H137" s="132"/>
      <c r="I137" s="110" t="s">
        <v>193</v>
      </c>
      <c r="J137" s="133">
        <f>J138</f>
        <v>2275.0059999999999</v>
      </c>
      <c r="K137" s="133"/>
      <c r="L137" s="133">
        <f t="shared" ref="L137:R138" si="48">L138</f>
        <v>6008.35</v>
      </c>
      <c r="M137" s="133">
        <f t="shared" si="48"/>
        <v>8515.7049999999999</v>
      </c>
      <c r="N137" s="104">
        <f t="shared" si="48"/>
        <v>2275.0059999999999</v>
      </c>
      <c r="O137" s="134">
        <f t="shared" si="48"/>
        <v>2275.0059999999999</v>
      </c>
      <c r="P137" s="134">
        <f t="shared" si="48"/>
        <v>2275.0059999999999</v>
      </c>
      <c r="Q137" s="135">
        <f t="shared" si="48"/>
        <v>2275.0059999999999</v>
      </c>
      <c r="R137" s="135">
        <f t="shared" si="48"/>
        <v>2275.0059999999999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10" customFormat="1" ht="70.150000000000006" hidden="1" customHeight="1" x14ac:dyDescent="0.25">
      <c r="A138" s="1"/>
      <c r="B138" s="162" t="s">
        <v>196</v>
      </c>
      <c r="C138" s="111"/>
      <c r="D138" s="101" t="s">
        <v>149</v>
      </c>
      <c r="E138" s="111" t="s">
        <v>193</v>
      </c>
      <c r="F138" s="111" t="s">
        <v>197</v>
      </c>
      <c r="G138" s="111"/>
      <c r="H138" s="111"/>
      <c r="I138" s="111" t="s">
        <v>193</v>
      </c>
      <c r="J138" s="102">
        <f>J139</f>
        <v>2275.0059999999999</v>
      </c>
      <c r="K138" s="103"/>
      <c r="L138" s="102">
        <f t="shared" si="48"/>
        <v>6008.35</v>
      </c>
      <c r="M138" s="102">
        <f t="shared" si="48"/>
        <v>8515.7049999999999</v>
      </c>
      <c r="N138" s="104">
        <f t="shared" si="48"/>
        <v>2275.0059999999999</v>
      </c>
      <c r="O138" s="105">
        <f t="shared" si="48"/>
        <v>2275.0059999999999</v>
      </c>
      <c r="P138" s="105">
        <f t="shared" si="48"/>
        <v>2275.0059999999999</v>
      </c>
      <c r="Q138" s="105">
        <f t="shared" si="48"/>
        <v>2275.0059999999999</v>
      </c>
      <c r="R138" s="105">
        <f t="shared" si="48"/>
        <v>2275.0059999999999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10" customFormat="1" ht="12.65" hidden="1" customHeight="1" x14ac:dyDescent="0.3">
      <c r="A139" s="1"/>
      <c r="B139" s="92" t="s">
        <v>42</v>
      </c>
      <c r="C139" s="111"/>
      <c r="D139" s="101" t="s">
        <v>149</v>
      </c>
      <c r="E139" s="111" t="s">
        <v>193</v>
      </c>
      <c r="F139" s="111" t="s">
        <v>197</v>
      </c>
      <c r="G139" s="111" t="s">
        <v>65</v>
      </c>
      <c r="H139" s="111"/>
      <c r="I139" s="111" t="s">
        <v>193</v>
      </c>
      <c r="J139" s="102">
        <v>2275.0059999999999</v>
      </c>
      <c r="K139" s="103"/>
      <c r="L139" s="102">
        <v>6008.35</v>
      </c>
      <c r="M139" s="102">
        <v>8515.7049999999999</v>
      </c>
      <c r="N139" s="104">
        <v>2275.0059999999999</v>
      </c>
      <c r="O139" s="105">
        <v>2275.0059999999999</v>
      </c>
      <c r="P139" s="105">
        <v>2275.0059999999999</v>
      </c>
      <c r="Q139" s="105">
        <v>2275.0059999999999</v>
      </c>
      <c r="R139" s="105">
        <v>2275.0059999999999</v>
      </c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10" customFormat="1" ht="56.5" hidden="1" customHeight="1" x14ac:dyDescent="0.25">
      <c r="A140" s="1"/>
      <c r="B140" s="177" t="s">
        <v>198</v>
      </c>
      <c r="C140" s="111"/>
      <c r="D140" s="110" t="s">
        <v>149</v>
      </c>
      <c r="E140" s="110" t="s">
        <v>193</v>
      </c>
      <c r="F140" s="110" t="s">
        <v>199</v>
      </c>
      <c r="G140" s="132"/>
      <c r="H140" s="132"/>
      <c r="I140" s="110" t="s">
        <v>193</v>
      </c>
      <c r="J140" s="133">
        <f>J141+J143</f>
        <v>9483.762999999999</v>
      </c>
      <c r="K140" s="132"/>
      <c r="L140" s="133">
        <f t="shared" ref="L140:R140" si="49">L141+L143</f>
        <v>7617.2</v>
      </c>
      <c r="M140" s="195">
        <f t="shared" si="49"/>
        <v>7463.8</v>
      </c>
      <c r="N140" s="104">
        <f t="shared" si="49"/>
        <v>9483.762999999999</v>
      </c>
      <c r="O140" s="134">
        <f t="shared" si="49"/>
        <v>9483.762999999999</v>
      </c>
      <c r="P140" s="134">
        <f t="shared" si="49"/>
        <v>9483.762999999999</v>
      </c>
      <c r="Q140" s="135">
        <f t="shared" si="49"/>
        <v>9483.762999999999</v>
      </c>
      <c r="R140" s="135">
        <f t="shared" si="49"/>
        <v>9483.762999999999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10" customFormat="1" ht="78.5" hidden="1" thickBot="1" x14ac:dyDescent="0.3">
      <c r="A141" s="1"/>
      <c r="B141" s="106" t="s">
        <v>200</v>
      </c>
      <c r="C141" s="111"/>
      <c r="D141" s="110" t="s">
        <v>149</v>
      </c>
      <c r="E141" s="110" t="s">
        <v>193</v>
      </c>
      <c r="F141" s="111" t="s">
        <v>201</v>
      </c>
      <c r="G141" s="111"/>
      <c r="H141" s="111"/>
      <c r="I141" s="110" t="s">
        <v>193</v>
      </c>
      <c r="J141" s="102">
        <f>J142</f>
        <v>5353.7750000000005</v>
      </c>
      <c r="K141" s="103"/>
      <c r="L141" s="103">
        <f t="shared" ref="L141:R141" si="50">L142</f>
        <v>5406.2</v>
      </c>
      <c r="M141" s="103">
        <f t="shared" si="50"/>
        <v>5230.3</v>
      </c>
      <c r="N141" s="104">
        <f t="shared" si="50"/>
        <v>5353.7750000000005</v>
      </c>
      <c r="O141" s="105">
        <f t="shared" si="50"/>
        <v>5353.7750000000005</v>
      </c>
      <c r="P141" s="105">
        <f t="shared" si="50"/>
        <v>5353.7750000000005</v>
      </c>
      <c r="Q141" s="105">
        <f t="shared" si="50"/>
        <v>5353.7750000000005</v>
      </c>
      <c r="R141" s="105">
        <f t="shared" si="50"/>
        <v>5353.7750000000005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10" customFormat="1" ht="13.5" hidden="1" thickBot="1" x14ac:dyDescent="0.35">
      <c r="A142" s="1"/>
      <c r="B142" s="92" t="s">
        <v>42</v>
      </c>
      <c r="C142" s="111"/>
      <c r="D142" s="111" t="s">
        <v>149</v>
      </c>
      <c r="E142" s="111" t="s">
        <v>193</v>
      </c>
      <c r="F142" s="111" t="s">
        <v>201</v>
      </c>
      <c r="G142" s="111" t="s">
        <v>65</v>
      </c>
      <c r="H142" s="111"/>
      <c r="I142" s="111" t="s">
        <v>193</v>
      </c>
      <c r="J142" s="95">
        <f>5356.1-4835.3+2500.3+2332.675</f>
        <v>5353.7750000000005</v>
      </c>
      <c r="K142" s="103"/>
      <c r="L142" s="95">
        <v>5406.2</v>
      </c>
      <c r="M142" s="95">
        <v>5230.3</v>
      </c>
      <c r="N142" s="108">
        <f>5356.1-4835.3+2500.3+2332.675</f>
        <v>5353.7750000000005</v>
      </c>
      <c r="O142" s="109">
        <f>5356.1-4835.3+2500.3+2332.675</f>
        <v>5353.7750000000005</v>
      </c>
      <c r="P142" s="109">
        <f>5356.1-4835.3+2500.3+2332.675</f>
        <v>5353.7750000000005</v>
      </c>
      <c r="Q142" s="109">
        <f>5356.1-4835.3+2500.3+2332.675</f>
        <v>5353.7750000000005</v>
      </c>
      <c r="R142" s="109">
        <f>5356.1-4835.3+2500.3+2332.675</f>
        <v>5353.7750000000005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10" customFormat="1" ht="79.150000000000006" hidden="1" customHeight="1" x14ac:dyDescent="0.25">
      <c r="A143" s="1"/>
      <c r="B143" s="106" t="s">
        <v>202</v>
      </c>
      <c r="C143" s="111"/>
      <c r="D143" s="110" t="s">
        <v>149</v>
      </c>
      <c r="E143" s="110" t="s">
        <v>193</v>
      </c>
      <c r="F143" s="111" t="s">
        <v>203</v>
      </c>
      <c r="G143" s="111"/>
      <c r="H143" s="111"/>
      <c r="I143" s="110" t="s">
        <v>193</v>
      </c>
      <c r="J143" s="102">
        <f>J144</f>
        <v>4129.9879999999994</v>
      </c>
      <c r="K143" s="102"/>
      <c r="L143" s="102">
        <f t="shared" ref="L143:R143" si="51">L144</f>
        <v>2211</v>
      </c>
      <c r="M143" s="102">
        <f t="shared" si="51"/>
        <v>2233.5</v>
      </c>
      <c r="N143" s="104">
        <f t="shared" si="51"/>
        <v>4129.9879999999994</v>
      </c>
      <c r="O143" s="105">
        <f t="shared" si="51"/>
        <v>4129.9879999999994</v>
      </c>
      <c r="P143" s="105">
        <f t="shared" si="51"/>
        <v>4129.9879999999994</v>
      </c>
      <c r="Q143" s="105">
        <f t="shared" si="51"/>
        <v>4129.9879999999994</v>
      </c>
      <c r="R143" s="105">
        <f t="shared" si="51"/>
        <v>4129.9879999999994</v>
      </c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0" customFormat="1" ht="18.649999999999999" hidden="1" customHeight="1" x14ac:dyDescent="0.3">
      <c r="A144" s="1"/>
      <c r="B144" s="92" t="s">
        <v>42</v>
      </c>
      <c r="C144" s="111"/>
      <c r="D144" s="111" t="s">
        <v>149</v>
      </c>
      <c r="E144" s="111" t="s">
        <v>193</v>
      </c>
      <c r="F144" s="111" t="s">
        <v>203</v>
      </c>
      <c r="G144" s="111" t="s">
        <v>65</v>
      </c>
      <c r="H144" s="111"/>
      <c r="I144" s="111" t="s">
        <v>193</v>
      </c>
      <c r="J144" s="102">
        <f>2142.2+1447.788+540</f>
        <v>4129.9879999999994</v>
      </c>
      <c r="K144" s="102"/>
      <c r="L144" s="102">
        <v>2211</v>
      </c>
      <c r="M144" s="102">
        <v>2233.5</v>
      </c>
      <c r="N144" s="104">
        <f>2142.2+1447.788+540</f>
        <v>4129.9879999999994</v>
      </c>
      <c r="O144" s="105">
        <f>2142.2+1447.788+540</f>
        <v>4129.9879999999994</v>
      </c>
      <c r="P144" s="105">
        <f>2142.2+1447.788+540</f>
        <v>4129.9879999999994</v>
      </c>
      <c r="Q144" s="105">
        <f>2142.2+1447.788+540</f>
        <v>4129.9879999999994</v>
      </c>
      <c r="R144" s="105">
        <f>2142.2+1447.788+540</f>
        <v>4129.9879999999994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10" customFormat="1" ht="19.5" hidden="1" customHeight="1" x14ac:dyDescent="0.25">
      <c r="A145" s="1"/>
      <c r="B145" s="100" t="s">
        <v>204</v>
      </c>
      <c r="C145" s="111"/>
      <c r="D145" s="110" t="s">
        <v>149</v>
      </c>
      <c r="E145" s="110" t="s">
        <v>205</v>
      </c>
      <c r="F145" s="111"/>
      <c r="G145" s="111"/>
      <c r="H145" s="111"/>
      <c r="I145" s="110" t="s">
        <v>205</v>
      </c>
      <c r="J145" s="103">
        <f>J146</f>
        <v>0</v>
      </c>
      <c r="K145" s="103"/>
      <c r="L145" s="103">
        <f t="shared" ref="L145:R148" si="52">L146</f>
        <v>0</v>
      </c>
      <c r="M145" s="103">
        <f t="shared" si="52"/>
        <v>0</v>
      </c>
      <c r="N145" s="104">
        <f t="shared" si="52"/>
        <v>0</v>
      </c>
      <c r="O145" s="105">
        <f t="shared" si="52"/>
        <v>0</v>
      </c>
      <c r="P145" s="105">
        <f t="shared" si="52"/>
        <v>0</v>
      </c>
      <c r="Q145" s="105">
        <f t="shared" si="52"/>
        <v>0</v>
      </c>
      <c r="R145" s="105">
        <f t="shared" si="52"/>
        <v>0</v>
      </c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10" customFormat="1" ht="39.5" hidden="1" thickBot="1" x14ac:dyDescent="0.3">
      <c r="A146" s="1"/>
      <c r="B146" s="100" t="s">
        <v>73</v>
      </c>
      <c r="C146" s="111"/>
      <c r="D146" s="110" t="s">
        <v>149</v>
      </c>
      <c r="E146" s="110" t="s">
        <v>205</v>
      </c>
      <c r="F146" s="111"/>
      <c r="G146" s="111"/>
      <c r="H146" s="111"/>
      <c r="I146" s="110" t="s">
        <v>205</v>
      </c>
      <c r="J146" s="103">
        <f>J147</f>
        <v>0</v>
      </c>
      <c r="K146" s="103"/>
      <c r="L146" s="103">
        <f t="shared" si="52"/>
        <v>0</v>
      </c>
      <c r="M146" s="103">
        <f t="shared" si="52"/>
        <v>0</v>
      </c>
      <c r="N146" s="104">
        <f t="shared" si="52"/>
        <v>0</v>
      </c>
      <c r="O146" s="105">
        <f t="shared" si="52"/>
        <v>0</v>
      </c>
      <c r="P146" s="105">
        <f t="shared" si="52"/>
        <v>0</v>
      </c>
      <c r="Q146" s="105">
        <f t="shared" si="52"/>
        <v>0</v>
      </c>
      <c r="R146" s="105">
        <f t="shared" si="52"/>
        <v>0</v>
      </c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10" customFormat="1" ht="30.75" hidden="1" customHeight="1" x14ac:dyDescent="0.25">
      <c r="A147" s="1"/>
      <c r="B147" s="100" t="s">
        <v>206</v>
      </c>
      <c r="C147" s="111"/>
      <c r="D147" s="110" t="s">
        <v>149</v>
      </c>
      <c r="E147" s="110" t="s">
        <v>205</v>
      </c>
      <c r="F147" s="111" t="s">
        <v>207</v>
      </c>
      <c r="G147" s="157"/>
      <c r="H147" s="157"/>
      <c r="I147" s="110" t="s">
        <v>205</v>
      </c>
      <c r="J147" s="198">
        <f>J148</f>
        <v>0</v>
      </c>
      <c r="K147" s="198"/>
      <c r="L147" s="198">
        <f t="shared" si="52"/>
        <v>0</v>
      </c>
      <c r="M147" s="198">
        <f t="shared" si="52"/>
        <v>0</v>
      </c>
      <c r="N147" s="108">
        <f t="shared" si="52"/>
        <v>0</v>
      </c>
      <c r="O147" s="199">
        <f t="shared" si="52"/>
        <v>0</v>
      </c>
      <c r="P147" s="199">
        <f t="shared" si="52"/>
        <v>0</v>
      </c>
      <c r="Q147" s="109">
        <f t="shared" si="52"/>
        <v>0</v>
      </c>
      <c r="R147" s="109">
        <f t="shared" si="52"/>
        <v>0</v>
      </c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10" customFormat="1" ht="26.5" hidden="1" thickBot="1" x14ac:dyDescent="0.3">
      <c r="A148" s="1"/>
      <c r="B148" s="125" t="s">
        <v>208</v>
      </c>
      <c r="C148" s="111"/>
      <c r="D148" s="110" t="s">
        <v>149</v>
      </c>
      <c r="E148" s="110" t="s">
        <v>205</v>
      </c>
      <c r="F148" s="111" t="s">
        <v>209</v>
      </c>
      <c r="G148" s="157"/>
      <c r="H148" s="157"/>
      <c r="I148" s="110" t="s">
        <v>205</v>
      </c>
      <c r="J148" s="198">
        <f>J149</f>
        <v>0</v>
      </c>
      <c r="K148" s="198"/>
      <c r="L148" s="198">
        <f t="shared" si="52"/>
        <v>0</v>
      </c>
      <c r="M148" s="198">
        <f t="shared" si="52"/>
        <v>0</v>
      </c>
      <c r="N148" s="108">
        <f t="shared" si="52"/>
        <v>0</v>
      </c>
      <c r="O148" s="199">
        <f t="shared" si="52"/>
        <v>0</v>
      </c>
      <c r="P148" s="199">
        <f t="shared" si="52"/>
        <v>0</v>
      </c>
      <c r="Q148" s="109">
        <f t="shared" si="52"/>
        <v>0</v>
      </c>
      <c r="R148" s="109">
        <f t="shared" si="52"/>
        <v>0</v>
      </c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10" customFormat="1" ht="13.5" hidden="1" thickBot="1" x14ac:dyDescent="0.3">
      <c r="A149" s="1"/>
      <c r="B149" s="125"/>
      <c r="C149" s="111"/>
      <c r="D149" s="110" t="s">
        <v>149</v>
      </c>
      <c r="E149" s="110" t="s">
        <v>205</v>
      </c>
      <c r="F149" s="111" t="s">
        <v>209</v>
      </c>
      <c r="G149" s="157"/>
      <c r="H149" s="157"/>
      <c r="I149" s="110" t="s">
        <v>205</v>
      </c>
      <c r="J149" s="198"/>
      <c r="K149" s="198"/>
      <c r="L149" s="198"/>
      <c r="M149" s="198"/>
      <c r="N149" s="108"/>
      <c r="O149" s="199"/>
      <c r="P149" s="199"/>
      <c r="Q149" s="109"/>
      <c r="R149" s="109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10" customFormat="1" ht="14.5" hidden="1" thickBot="1" x14ac:dyDescent="0.3">
      <c r="A150" s="1"/>
      <c r="B150" s="200" t="s">
        <v>210</v>
      </c>
      <c r="C150" s="123"/>
      <c r="D150" s="123" t="s">
        <v>211</v>
      </c>
      <c r="E150" s="201"/>
      <c r="F150" s="202"/>
      <c r="G150" s="121"/>
      <c r="H150" s="203"/>
      <c r="I150" s="201"/>
      <c r="J150" s="78">
        <f>J151</f>
        <v>160</v>
      </c>
      <c r="K150" s="78"/>
      <c r="L150" s="78">
        <f t="shared" ref="L150:R152" si="53">L151</f>
        <v>172</v>
      </c>
      <c r="M150" s="78">
        <f t="shared" si="53"/>
        <v>184</v>
      </c>
      <c r="N150" s="79">
        <f t="shared" si="53"/>
        <v>160</v>
      </c>
      <c r="O150" s="80">
        <f t="shared" si="53"/>
        <v>160</v>
      </c>
      <c r="P150" s="80">
        <f t="shared" si="53"/>
        <v>160</v>
      </c>
      <c r="Q150" s="80">
        <f t="shared" si="53"/>
        <v>160</v>
      </c>
      <c r="R150" s="80">
        <f t="shared" si="53"/>
        <v>160</v>
      </c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0" customFormat="1" ht="13.5" hidden="1" thickBot="1" x14ac:dyDescent="0.3">
      <c r="A151" s="1"/>
      <c r="B151" s="100" t="s">
        <v>212</v>
      </c>
      <c r="C151" s="110"/>
      <c r="D151" s="110" t="s">
        <v>211</v>
      </c>
      <c r="E151" s="110" t="s">
        <v>213</v>
      </c>
      <c r="F151" s="1"/>
      <c r="G151" s="111"/>
      <c r="H151" s="111"/>
      <c r="I151" s="110" t="s">
        <v>213</v>
      </c>
      <c r="J151" s="98">
        <f>J152</f>
        <v>160</v>
      </c>
      <c r="K151" s="98"/>
      <c r="L151" s="98">
        <f t="shared" si="53"/>
        <v>172</v>
      </c>
      <c r="M151" s="98">
        <f t="shared" si="53"/>
        <v>184</v>
      </c>
      <c r="N151" s="96">
        <f t="shared" si="53"/>
        <v>160</v>
      </c>
      <c r="O151" s="97">
        <f t="shared" si="53"/>
        <v>160</v>
      </c>
      <c r="P151" s="97">
        <f t="shared" si="53"/>
        <v>160</v>
      </c>
      <c r="Q151" s="97">
        <f t="shared" si="53"/>
        <v>160</v>
      </c>
      <c r="R151" s="97">
        <f t="shared" si="53"/>
        <v>160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10" customFormat="1" ht="53.25" hidden="1" customHeight="1" x14ac:dyDescent="0.25">
      <c r="A152" s="1"/>
      <c r="B152" s="100" t="s">
        <v>214</v>
      </c>
      <c r="C152" s="110"/>
      <c r="D152" s="110" t="s">
        <v>211</v>
      </c>
      <c r="E152" s="110" t="s">
        <v>213</v>
      </c>
      <c r="F152" s="110" t="s">
        <v>215</v>
      </c>
      <c r="G152" s="132"/>
      <c r="H152" s="132"/>
      <c r="I152" s="110" t="s">
        <v>213</v>
      </c>
      <c r="J152" s="133">
        <f>J153</f>
        <v>160</v>
      </c>
      <c r="K152" s="133"/>
      <c r="L152" s="133">
        <f t="shared" si="53"/>
        <v>172</v>
      </c>
      <c r="M152" s="133">
        <f t="shared" si="53"/>
        <v>184</v>
      </c>
      <c r="N152" s="104">
        <f t="shared" si="53"/>
        <v>160</v>
      </c>
      <c r="O152" s="134">
        <f t="shared" si="53"/>
        <v>160</v>
      </c>
      <c r="P152" s="134">
        <f t="shared" si="53"/>
        <v>160</v>
      </c>
      <c r="Q152" s="135">
        <f t="shared" si="53"/>
        <v>160</v>
      </c>
      <c r="R152" s="135">
        <f t="shared" si="53"/>
        <v>160</v>
      </c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10" customFormat="1" ht="65.5" hidden="1" thickBot="1" x14ac:dyDescent="0.3">
      <c r="A153" s="1"/>
      <c r="B153" s="136" t="s">
        <v>216</v>
      </c>
      <c r="C153" s="110"/>
      <c r="D153" s="110" t="s">
        <v>211</v>
      </c>
      <c r="E153" s="110" t="s">
        <v>213</v>
      </c>
      <c r="F153" s="110" t="s">
        <v>217</v>
      </c>
      <c r="G153" s="111"/>
      <c r="H153" s="111"/>
      <c r="I153" s="110" t="s">
        <v>213</v>
      </c>
      <c r="J153" s="98">
        <f>J156</f>
        <v>160</v>
      </c>
      <c r="K153" s="98"/>
      <c r="L153" s="98">
        <f t="shared" ref="L153:R153" si="54">L156</f>
        <v>172</v>
      </c>
      <c r="M153" s="98">
        <f t="shared" si="54"/>
        <v>184</v>
      </c>
      <c r="N153" s="96">
        <f t="shared" si="54"/>
        <v>160</v>
      </c>
      <c r="O153" s="97">
        <f t="shared" si="54"/>
        <v>160</v>
      </c>
      <c r="P153" s="97">
        <f t="shared" si="54"/>
        <v>160</v>
      </c>
      <c r="Q153" s="97">
        <f t="shared" si="54"/>
        <v>160</v>
      </c>
      <c r="R153" s="97">
        <f t="shared" si="54"/>
        <v>160</v>
      </c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10" customFormat="1" ht="75" hidden="1" customHeight="1" x14ac:dyDescent="0.25">
      <c r="A154" s="1"/>
      <c r="B154" s="112" t="s">
        <v>218</v>
      </c>
      <c r="C154" s="110"/>
      <c r="D154" s="110" t="s">
        <v>211</v>
      </c>
      <c r="E154" s="110" t="s">
        <v>213</v>
      </c>
      <c r="F154" s="111" t="s">
        <v>219</v>
      </c>
      <c r="G154" s="111"/>
      <c r="H154" s="111"/>
      <c r="I154" s="110" t="s">
        <v>213</v>
      </c>
      <c r="J154" s="98"/>
      <c r="K154" s="98"/>
      <c r="L154" s="98"/>
      <c r="M154" s="98"/>
      <c r="N154" s="96"/>
      <c r="O154" s="97"/>
      <c r="P154" s="97"/>
      <c r="Q154" s="97"/>
      <c r="R154" s="97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10" customFormat="1" ht="16.149999999999999" hidden="1" customHeight="1" x14ac:dyDescent="0.3">
      <c r="A155" s="1"/>
      <c r="B155" s="92" t="s">
        <v>42</v>
      </c>
      <c r="C155" s="110"/>
      <c r="D155" s="110" t="s">
        <v>211</v>
      </c>
      <c r="E155" s="110" t="s">
        <v>213</v>
      </c>
      <c r="F155" s="111" t="s">
        <v>219</v>
      </c>
      <c r="G155" s="111" t="s">
        <v>65</v>
      </c>
      <c r="H155" s="111"/>
      <c r="I155" s="110" t="s">
        <v>213</v>
      </c>
      <c r="J155" s="98"/>
      <c r="K155" s="98"/>
      <c r="L155" s="98"/>
      <c r="M155" s="98"/>
      <c r="N155" s="96"/>
      <c r="O155" s="97"/>
      <c r="P155" s="97"/>
      <c r="Q155" s="97"/>
      <c r="R155" s="97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0" customFormat="1" ht="77.25" hidden="1" customHeight="1" x14ac:dyDescent="0.25">
      <c r="A156" s="1"/>
      <c r="B156" s="106" t="s">
        <v>220</v>
      </c>
      <c r="C156" s="110"/>
      <c r="D156" s="110" t="s">
        <v>211</v>
      </c>
      <c r="E156" s="110" t="s">
        <v>213</v>
      </c>
      <c r="F156" s="111" t="s">
        <v>221</v>
      </c>
      <c r="G156" s="111"/>
      <c r="H156" s="111"/>
      <c r="I156" s="110" t="s">
        <v>213</v>
      </c>
      <c r="J156" s="98">
        <f>J157</f>
        <v>160</v>
      </c>
      <c r="K156" s="98"/>
      <c r="L156" s="98">
        <f t="shared" ref="L156:R156" si="55">L157</f>
        <v>172</v>
      </c>
      <c r="M156" s="98">
        <f t="shared" si="55"/>
        <v>184</v>
      </c>
      <c r="N156" s="96">
        <f t="shared" si="55"/>
        <v>160</v>
      </c>
      <c r="O156" s="97">
        <f t="shared" si="55"/>
        <v>160</v>
      </c>
      <c r="P156" s="97">
        <f t="shared" si="55"/>
        <v>160</v>
      </c>
      <c r="Q156" s="97">
        <f t="shared" si="55"/>
        <v>160</v>
      </c>
      <c r="R156" s="97">
        <f t="shared" si="55"/>
        <v>160</v>
      </c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0" customFormat="1" ht="16.899999999999999" hidden="1" customHeight="1" x14ac:dyDescent="0.3">
      <c r="A157" s="1"/>
      <c r="B157" s="92" t="s">
        <v>42</v>
      </c>
      <c r="C157" s="110"/>
      <c r="D157" s="110" t="s">
        <v>211</v>
      </c>
      <c r="E157" s="110" t="s">
        <v>213</v>
      </c>
      <c r="F157" s="111" t="s">
        <v>221</v>
      </c>
      <c r="G157" s="111" t="s">
        <v>65</v>
      </c>
      <c r="H157" s="111"/>
      <c r="I157" s="110" t="s">
        <v>213</v>
      </c>
      <c r="J157" s="98">
        <v>160</v>
      </c>
      <c r="K157" s="98"/>
      <c r="L157" s="98">
        <v>172</v>
      </c>
      <c r="M157" s="98">
        <v>184</v>
      </c>
      <c r="N157" s="96">
        <v>160</v>
      </c>
      <c r="O157" s="97">
        <v>160</v>
      </c>
      <c r="P157" s="97">
        <v>160</v>
      </c>
      <c r="Q157" s="97">
        <v>160</v>
      </c>
      <c r="R157" s="97">
        <v>160</v>
      </c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0" customFormat="1" ht="14.5" hidden="1" thickBot="1" x14ac:dyDescent="0.3">
      <c r="A158" s="1"/>
      <c r="B158" s="74" t="s">
        <v>222</v>
      </c>
      <c r="C158" s="75"/>
      <c r="D158" s="75" t="s">
        <v>223</v>
      </c>
      <c r="E158" s="75"/>
      <c r="F158" s="75"/>
      <c r="G158" s="75"/>
      <c r="H158" s="75"/>
      <c r="I158" s="75"/>
      <c r="J158" s="78">
        <f>J159+J166</f>
        <v>7152.5</v>
      </c>
      <c r="K158" s="78"/>
      <c r="L158" s="78">
        <f t="shared" ref="L158:R158" si="56">L159+L166</f>
        <v>7583.5</v>
      </c>
      <c r="M158" s="78">
        <f t="shared" si="56"/>
        <v>8198.5</v>
      </c>
      <c r="N158" s="79">
        <f t="shared" si="56"/>
        <v>7152.5</v>
      </c>
      <c r="O158" s="80">
        <f t="shared" si="56"/>
        <v>7152.5</v>
      </c>
      <c r="P158" s="80">
        <f t="shared" si="56"/>
        <v>7152.5</v>
      </c>
      <c r="Q158" s="80">
        <f t="shared" si="56"/>
        <v>7152.5</v>
      </c>
      <c r="R158" s="80">
        <f t="shared" si="56"/>
        <v>7152.5</v>
      </c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10" customFormat="1" ht="13.5" hidden="1" thickBot="1" x14ac:dyDescent="0.3">
      <c r="A159" s="1"/>
      <c r="B159" s="100" t="s">
        <v>224</v>
      </c>
      <c r="C159" s="110"/>
      <c r="D159" s="110" t="s">
        <v>223</v>
      </c>
      <c r="E159" s="110" t="s">
        <v>225</v>
      </c>
      <c r="F159" s="110"/>
      <c r="G159" s="110"/>
      <c r="H159" s="110"/>
      <c r="I159" s="110" t="s">
        <v>225</v>
      </c>
      <c r="J159" s="85">
        <f>J160</f>
        <v>5947</v>
      </c>
      <c r="K159" s="85"/>
      <c r="L159" s="85">
        <f t="shared" ref="L159:R161" si="57">L160</f>
        <v>6305</v>
      </c>
      <c r="M159" s="85">
        <f t="shared" si="57"/>
        <v>6960</v>
      </c>
      <c r="N159" s="86">
        <f t="shared" si="57"/>
        <v>5947</v>
      </c>
      <c r="O159" s="87">
        <f t="shared" si="57"/>
        <v>5947</v>
      </c>
      <c r="P159" s="87">
        <f t="shared" si="57"/>
        <v>5947</v>
      </c>
      <c r="Q159" s="87">
        <f t="shared" si="57"/>
        <v>5947</v>
      </c>
      <c r="R159" s="87">
        <f t="shared" si="57"/>
        <v>5947</v>
      </c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10" customFormat="1" ht="55.5" hidden="1" customHeight="1" x14ac:dyDescent="0.25">
      <c r="A160" s="1"/>
      <c r="B160" s="100" t="s">
        <v>214</v>
      </c>
      <c r="C160" s="110"/>
      <c r="D160" s="110" t="s">
        <v>223</v>
      </c>
      <c r="E160" s="110" t="s">
        <v>225</v>
      </c>
      <c r="F160" s="110" t="s">
        <v>215</v>
      </c>
      <c r="G160" s="132"/>
      <c r="H160" s="132"/>
      <c r="I160" s="110" t="s">
        <v>225</v>
      </c>
      <c r="J160" s="133">
        <f>J161</f>
        <v>5947</v>
      </c>
      <c r="K160" s="133"/>
      <c r="L160" s="133">
        <f t="shared" si="57"/>
        <v>6305</v>
      </c>
      <c r="M160" s="133">
        <f t="shared" si="57"/>
        <v>6960</v>
      </c>
      <c r="N160" s="104">
        <f t="shared" si="57"/>
        <v>5947</v>
      </c>
      <c r="O160" s="134">
        <f t="shared" si="57"/>
        <v>5947</v>
      </c>
      <c r="P160" s="134">
        <f t="shared" si="57"/>
        <v>5947</v>
      </c>
      <c r="Q160" s="135">
        <f t="shared" si="57"/>
        <v>5947</v>
      </c>
      <c r="R160" s="135">
        <f t="shared" si="57"/>
        <v>5947</v>
      </c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2:24" ht="83.5" hidden="1" customHeight="1" x14ac:dyDescent="0.25">
      <c r="B161" s="136" t="s">
        <v>226</v>
      </c>
      <c r="C161" s="111"/>
      <c r="D161" s="111" t="s">
        <v>223</v>
      </c>
      <c r="E161" s="111" t="s">
        <v>225</v>
      </c>
      <c r="F161" s="111" t="s">
        <v>227</v>
      </c>
      <c r="G161" s="111"/>
      <c r="H161" s="111"/>
      <c r="I161" s="111" t="s">
        <v>225</v>
      </c>
      <c r="J161" s="94">
        <f>J162</f>
        <v>5947</v>
      </c>
      <c r="K161" s="94"/>
      <c r="L161" s="94">
        <f t="shared" si="57"/>
        <v>6305</v>
      </c>
      <c r="M161" s="94">
        <f t="shared" si="57"/>
        <v>6960</v>
      </c>
      <c r="N161" s="96">
        <f t="shared" si="57"/>
        <v>5947</v>
      </c>
      <c r="O161" s="97">
        <f t="shared" si="57"/>
        <v>5947</v>
      </c>
      <c r="P161" s="97">
        <f t="shared" si="57"/>
        <v>5947</v>
      </c>
      <c r="Q161" s="97">
        <f t="shared" si="57"/>
        <v>5947</v>
      </c>
      <c r="R161" s="97">
        <f t="shared" si="57"/>
        <v>5947</v>
      </c>
    </row>
    <row r="162" spans="2:24" ht="91.5" hidden="1" thickBot="1" x14ac:dyDescent="0.3">
      <c r="B162" s="106" t="s">
        <v>228</v>
      </c>
      <c r="C162" s="111"/>
      <c r="D162" s="111" t="s">
        <v>223</v>
      </c>
      <c r="E162" s="111" t="s">
        <v>225</v>
      </c>
      <c r="F162" s="111" t="s">
        <v>229</v>
      </c>
      <c r="G162" s="111"/>
      <c r="H162" s="111"/>
      <c r="I162" s="111" t="s">
        <v>225</v>
      </c>
      <c r="J162" s="94">
        <f>J163+J164+J165</f>
        <v>5947</v>
      </c>
      <c r="K162" s="94"/>
      <c r="L162" s="94">
        <f t="shared" ref="L162:R162" si="58">L163+L164+L165</f>
        <v>6305</v>
      </c>
      <c r="M162" s="94">
        <f t="shared" si="58"/>
        <v>6960</v>
      </c>
      <c r="N162" s="96">
        <f t="shared" si="58"/>
        <v>5947</v>
      </c>
      <c r="O162" s="97">
        <f t="shared" si="58"/>
        <v>5947</v>
      </c>
      <c r="P162" s="97">
        <f t="shared" si="58"/>
        <v>5947</v>
      </c>
      <c r="Q162" s="97">
        <f t="shared" si="58"/>
        <v>5947</v>
      </c>
      <c r="R162" s="97">
        <f t="shared" si="58"/>
        <v>5947</v>
      </c>
    </row>
    <row r="163" spans="2:24" ht="13.5" hidden="1" thickBot="1" x14ac:dyDescent="0.35">
      <c r="B163" s="92" t="s">
        <v>230</v>
      </c>
      <c r="C163" s="111"/>
      <c r="D163" s="111" t="s">
        <v>223</v>
      </c>
      <c r="E163" s="111" t="s">
        <v>225</v>
      </c>
      <c r="F163" s="111" t="s">
        <v>229</v>
      </c>
      <c r="G163" s="111" t="s">
        <v>231</v>
      </c>
      <c r="H163" s="111"/>
      <c r="I163" s="111" t="s">
        <v>225</v>
      </c>
      <c r="J163" s="204">
        <v>4171.2870000000003</v>
      </c>
      <c r="K163" s="204"/>
      <c r="L163" s="94">
        <v>5305.1139999999996</v>
      </c>
      <c r="M163" s="94">
        <v>6631.482</v>
      </c>
      <c r="N163" s="96">
        <v>4171.2870000000003</v>
      </c>
      <c r="O163" s="97">
        <v>4171.2870000000003</v>
      </c>
      <c r="P163" s="97">
        <v>4171.2870000000003</v>
      </c>
      <c r="Q163" s="97">
        <v>4171.2870000000003</v>
      </c>
      <c r="R163" s="97">
        <v>4171.2870000000003</v>
      </c>
    </row>
    <row r="164" spans="2:24" ht="13.5" hidden="1" thickBot="1" x14ac:dyDescent="0.35">
      <c r="B164" s="92" t="s">
        <v>42</v>
      </c>
      <c r="C164" s="111"/>
      <c r="D164" s="111" t="s">
        <v>223</v>
      </c>
      <c r="E164" s="111" t="s">
        <v>225</v>
      </c>
      <c r="F164" s="111" t="s">
        <v>229</v>
      </c>
      <c r="G164" s="111" t="s">
        <v>65</v>
      </c>
      <c r="H164" s="111"/>
      <c r="I164" s="111" t="s">
        <v>225</v>
      </c>
      <c r="J164" s="94">
        <f>1775.713-0.713</f>
        <v>1775</v>
      </c>
      <c r="K164" s="94"/>
      <c r="L164" s="94">
        <f>999.886-0.886</f>
        <v>999</v>
      </c>
      <c r="M164" s="94">
        <v>328</v>
      </c>
      <c r="N164" s="96">
        <f>1775.713-0.713</f>
        <v>1775</v>
      </c>
      <c r="O164" s="97">
        <f>1775.713-0.713</f>
        <v>1775</v>
      </c>
      <c r="P164" s="97">
        <f>1775.713-0.713</f>
        <v>1775</v>
      </c>
      <c r="Q164" s="97">
        <f>1775.713-0.713</f>
        <v>1775</v>
      </c>
      <c r="R164" s="97">
        <f>1775.713-0.713</f>
        <v>1775</v>
      </c>
    </row>
    <row r="165" spans="2:24" ht="13.5" hidden="1" thickBot="1" x14ac:dyDescent="0.35">
      <c r="B165" s="92" t="s">
        <v>88</v>
      </c>
      <c r="C165" s="111"/>
      <c r="D165" s="111" t="s">
        <v>223</v>
      </c>
      <c r="E165" s="111" t="s">
        <v>225</v>
      </c>
      <c r="F165" s="111" t="s">
        <v>229</v>
      </c>
      <c r="G165" s="111" t="s">
        <v>89</v>
      </c>
      <c r="H165" s="111"/>
      <c r="I165" s="111" t="s">
        <v>225</v>
      </c>
      <c r="J165" s="98">
        <v>0.71299999999999997</v>
      </c>
      <c r="K165" s="98"/>
      <c r="L165" s="98">
        <v>0.88600000000000001</v>
      </c>
      <c r="M165" s="98">
        <v>0.51800000000000002</v>
      </c>
      <c r="N165" s="96">
        <v>0.71299999999999997</v>
      </c>
      <c r="O165" s="97">
        <v>0.71299999999999997</v>
      </c>
      <c r="P165" s="97">
        <v>0.71299999999999997</v>
      </c>
      <c r="Q165" s="97">
        <v>0.71299999999999997</v>
      </c>
      <c r="R165" s="97">
        <v>0.71299999999999997</v>
      </c>
    </row>
    <row r="166" spans="2:24" ht="30.75" hidden="1" customHeight="1" x14ac:dyDescent="0.25">
      <c r="B166" s="100" t="s">
        <v>232</v>
      </c>
      <c r="C166" s="110"/>
      <c r="D166" s="110" t="s">
        <v>223</v>
      </c>
      <c r="E166" s="110" t="s">
        <v>233</v>
      </c>
      <c r="F166" s="111"/>
      <c r="G166" s="111"/>
      <c r="H166" s="111"/>
      <c r="I166" s="110" t="s">
        <v>233</v>
      </c>
      <c r="J166" s="85">
        <f>J167</f>
        <v>1205.5</v>
      </c>
      <c r="K166" s="85"/>
      <c r="L166" s="85">
        <f t="shared" ref="L166:R169" si="59">L167</f>
        <v>1278.5</v>
      </c>
      <c r="M166" s="85">
        <f t="shared" si="59"/>
        <v>1238.5</v>
      </c>
      <c r="N166" s="86">
        <f t="shared" si="59"/>
        <v>1205.5</v>
      </c>
      <c r="O166" s="87">
        <f t="shared" si="59"/>
        <v>1205.5</v>
      </c>
      <c r="P166" s="87">
        <f t="shared" si="59"/>
        <v>1205.5</v>
      </c>
      <c r="Q166" s="87">
        <f t="shared" si="59"/>
        <v>1205.5</v>
      </c>
      <c r="R166" s="87">
        <f t="shared" si="59"/>
        <v>1205.5</v>
      </c>
    </row>
    <row r="167" spans="2:24" ht="39.65" hidden="1" customHeight="1" x14ac:dyDescent="0.25">
      <c r="B167" s="100" t="s">
        <v>214</v>
      </c>
      <c r="C167" s="110"/>
      <c r="D167" s="110" t="s">
        <v>223</v>
      </c>
      <c r="E167" s="110" t="s">
        <v>233</v>
      </c>
      <c r="F167" s="110" t="s">
        <v>215</v>
      </c>
      <c r="G167" s="132"/>
      <c r="H167" s="132"/>
      <c r="I167" s="110" t="s">
        <v>233</v>
      </c>
      <c r="J167" s="133">
        <f>J168</f>
        <v>1205.5</v>
      </c>
      <c r="K167" s="133"/>
      <c r="L167" s="133">
        <f t="shared" si="59"/>
        <v>1278.5</v>
      </c>
      <c r="M167" s="133">
        <f t="shared" si="59"/>
        <v>1238.5</v>
      </c>
      <c r="N167" s="104">
        <f t="shared" si="59"/>
        <v>1205.5</v>
      </c>
      <c r="O167" s="134">
        <f t="shared" si="59"/>
        <v>1205.5</v>
      </c>
      <c r="P167" s="134">
        <f t="shared" si="59"/>
        <v>1205.5</v>
      </c>
      <c r="Q167" s="135">
        <f t="shared" si="59"/>
        <v>1205.5</v>
      </c>
      <c r="R167" s="135">
        <f t="shared" si="59"/>
        <v>1205.5</v>
      </c>
    </row>
    <row r="168" spans="2:24" ht="85.9" hidden="1" customHeight="1" x14ac:dyDescent="0.25">
      <c r="B168" s="136" t="s">
        <v>234</v>
      </c>
      <c r="C168" s="111"/>
      <c r="D168" s="111" t="s">
        <v>223</v>
      </c>
      <c r="E168" s="111" t="s">
        <v>233</v>
      </c>
      <c r="F168" s="111" t="s">
        <v>235</v>
      </c>
      <c r="G168" s="111"/>
      <c r="H168" s="111"/>
      <c r="I168" s="111" t="s">
        <v>233</v>
      </c>
      <c r="J168" s="94">
        <f>J169</f>
        <v>1205.5</v>
      </c>
      <c r="K168" s="94"/>
      <c r="L168" s="94">
        <f t="shared" si="59"/>
        <v>1278.5</v>
      </c>
      <c r="M168" s="94">
        <f t="shared" si="59"/>
        <v>1238.5</v>
      </c>
      <c r="N168" s="96">
        <f t="shared" si="59"/>
        <v>1205.5</v>
      </c>
      <c r="O168" s="97">
        <f t="shared" si="59"/>
        <v>1205.5</v>
      </c>
      <c r="P168" s="97">
        <f t="shared" si="59"/>
        <v>1205.5</v>
      </c>
      <c r="Q168" s="97">
        <f t="shared" si="59"/>
        <v>1205.5</v>
      </c>
      <c r="R168" s="97">
        <f t="shared" si="59"/>
        <v>1205.5</v>
      </c>
    </row>
    <row r="169" spans="2:24" ht="91.5" hidden="1" thickBot="1" x14ac:dyDescent="0.3">
      <c r="B169" s="106" t="s">
        <v>236</v>
      </c>
      <c r="C169" s="111"/>
      <c r="D169" s="111" t="s">
        <v>223</v>
      </c>
      <c r="E169" s="111" t="s">
        <v>233</v>
      </c>
      <c r="F169" s="111" t="s">
        <v>237</v>
      </c>
      <c r="G169" s="111"/>
      <c r="H169" s="111"/>
      <c r="I169" s="111" t="s">
        <v>233</v>
      </c>
      <c r="J169" s="94">
        <f>J170</f>
        <v>1205.5</v>
      </c>
      <c r="K169" s="94"/>
      <c r="L169" s="94">
        <f t="shared" si="59"/>
        <v>1278.5</v>
      </c>
      <c r="M169" s="94">
        <f t="shared" si="59"/>
        <v>1238.5</v>
      </c>
      <c r="N169" s="96">
        <f t="shared" si="59"/>
        <v>1205.5</v>
      </c>
      <c r="O169" s="97">
        <f t="shared" si="59"/>
        <v>1205.5</v>
      </c>
      <c r="P169" s="97">
        <f t="shared" si="59"/>
        <v>1205.5</v>
      </c>
      <c r="Q169" s="97">
        <f t="shared" si="59"/>
        <v>1205.5</v>
      </c>
      <c r="R169" s="97">
        <f t="shared" si="59"/>
        <v>1205.5</v>
      </c>
    </row>
    <row r="170" spans="2:24" ht="13.5" hidden="1" thickBot="1" x14ac:dyDescent="0.35">
      <c r="B170" s="92" t="s">
        <v>42</v>
      </c>
      <c r="C170" s="111"/>
      <c r="D170" s="111" t="s">
        <v>223</v>
      </c>
      <c r="E170" s="111" t="s">
        <v>233</v>
      </c>
      <c r="F170" s="111" t="s">
        <v>237</v>
      </c>
      <c r="G170" s="111" t="s">
        <v>65</v>
      </c>
      <c r="H170" s="111"/>
      <c r="I170" s="111" t="s">
        <v>233</v>
      </c>
      <c r="J170" s="94">
        <v>1205.5</v>
      </c>
      <c r="K170" s="94"/>
      <c r="L170" s="94">
        <v>1278.5</v>
      </c>
      <c r="M170" s="94">
        <v>1238.5</v>
      </c>
      <c r="N170" s="96">
        <v>1205.5</v>
      </c>
      <c r="O170" s="97">
        <v>1205.5</v>
      </c>
      <c r="P170" s="97">
        <v>1205.5</v>
      </c>
      <c r="Q170" s="97">
        <v>1205.5</v>
      </c>
      <c r="R170" s="97">
        <v>1205.5</v>
      </c>
    </row>
    <row r="171" spans="2:24" s="207" customFormat="1" ht="52.5" hidden="1" thickBot="1" x14ac:dyDescent="0.35">
      <c r="B171" s="205" t="s">
        <v>238</v>
      </c>
      <c r="C171" s="89"/>
      <c r="D171" s="89" t="s">
        <v>223</v>
      </c>
      <c r="E171" s="111" t="s">
        <v>233</v>
      </c>
      <c r="F171" s="89" t="s">
        <v>239</v>
      </c>
      <c r="G171" s="138"/>
      <c r="H171" s="138"/>
      <c r="I171" s="111" t="s">
        <v>233</v>
      </c>
      <c r="J171" s="98"/>
      <c r="K171" s="98"/>
      <c r="L171" s="98"/>
      <c r="M171" s="98"/>
      <c r="N171" s="96"/>
      <c r="O171" s="97"/>
      <c r="P171" s="97"/>
      <c r="Q171" s="97"/>
      <c r="R171" s="97"/>
      <c r="S171" s="206"/>
      <c r="T171" s="206"/>
      <c r="U171" s="206"/>
      <c r="V171" s="206"/>
      <c r="W171" s="206"/>
      <c r="X171" s="206"/>
    </row>
    <row r="172" spans="2:24" ht="14.5" hidden="1" thickBot="1" x14ac:dyDescent="0.3">
      <c r="B172" s="74" t="s">
        <v>240</v>
      </c>
      <c r="C172" s="75"/>
      <c r="D172" s="75" t="s">
        <v>241</v>
      </c>
      <c r="E172" s="75"/>
      <c r="F172" s="75"/>
      <c r="G172" s="75"/>
      <c r="H172" s="75"/>
      <c r="I172" s="75"/>
      <c r="J172" s="127">
        <f>J173+J176</f>
        <v>412.5</v>
      </c>
      <c r="K172" s="127"/>
      <c r="L172" s="127">
        <f t="shared" ref="L172:R172" si="60">L173+L176</f>
        <v>412.5</v>
      </c>
      <c r="M172" s="127">
        <f t="shared" si="60"/>
        <v>412.5</v>
      </c>
      <c r="N172" s="128">
        <f t="shared" si="60"/>
        <v>412.5</v>
      </c>
      <c r="O172" s="129">
        <f t="shared" si="60"/>
        <v>412.5</v>
      </c>
      <c r="P172" s="129">
        <f t="shared" si="60"/>
        <v>412.5</v>
      </c>
      <c r="Q172" s="129">
        <f t="shared" si="60"/>
        <v>412.5</v>
      </c>
      <c r="R172" s="129">
        <f t="shared" si="60"/>
        <v>412.5</v>
      </c>
    </row>
    <row r="173" spans="2:24" ht="13.5" hidden="1" thickBot="1" x14ac:dyDescent="0.3">
      <c r="B173" s="148" t="s">
        <v>242</v>
      </c>
      <c r="C173" s="83"/>
      <c r="D173" s="110" t="s">
        <v>241</v>
      </c>
      <c r="E173" s="110" t="s">
        <v>243</v>
      </c>
      <c r="F173" s="83"/>
      <c r="G173" s="83"/>
      <c r="H173" s="83"/>
      <c r="I173" s="110" t="s">
        <v>243</v>
      </c>
      <c r="J173" s="103">
        <f>J174</f>
        <v>240.5</v>
      </c>
      <c r="K173" s="103"/>
      <c r="L173" s="103">
        <f t="shared" ref="L173:R174" si="61">L174</f>
        <v>240.5</v>
      </c>
      <c r="M173" s="103">
        <f t="shared" si="61"/>
        <v>240.5</v>
      </c>
      <c r="N173" s="104">
        <f t="shared" si="61"/>
        <v>240.5</v>
      </c>
      <c r="O173" s="105">
        <f t="shared" si="61"/>
        <v>240.5</v>
      </c>
      <c r="P173" s="105">
        <f t="shared" si="61"/>
        <v>240.5</v>
      </c>
      <c r="Q173" s="105">
        <f t="shared" si="61"/>
        <v>240.5</v>
      </c>
      <c r="R173" s="105">
        <f t="shared" si="61"/>
        <v>240.5</v>
      </c>
    </row>
    <row r="174" spans="2:24" ht="21" hidden="1" customHeight="1" x14ac:dyDescent="0.25">
      <c r="B174" s="112" t="s">
        <v>244</v>
      </c>
      <c r="C174" s="83"/>
      <c r="D174" s="111" t="s">
        <v>241</v>
      </c>
      <c r="E174" s="111" t="s">
        <v>243</v>
      </c>
      <c r="F174" s="208">
        <v>9900308</v>
      </c>
      <c r="G174" s="83"/>
      <c r="H174" s="83"/>
      <c r="I174" s="111" t="s">
        <v>243</v>
      </c>
      <c r="J174" s="99">
        <f>J175</f>
        <v>240.5</v>
      </c>
      <c r="K174" s="99"/>
      <c r="L174" s="99">
        <f t="shared" si="61"/>
        <v>240.5</v>
      </c>
      <c r="M174" s="99">
        <f t="shared" si="61"/>
        <v>240.5</v>
      </c>
      <c r="N174" s="108">
        <f t="shared" si="61"/>
        <v>240.5</v>
      </c>
      <c r="O174" s="109">
        <f t="shared" si="61"/>
        <v>240.5</v>
      </c>
      <c r="P174" s="109">
        <f t="shared" si="61"/>
        <v>240.5</v>
      </c>
      <c r="Q174" s="109">
        <f t="shared" si="61"/>
        <v>240.5</v>
      </c>
      <c r="R174" s="109">
        <f t="shared" si="61"/>
        <v>240.5</v>
      </c>
    </row>
    <row r="175" spans="2:24" ht="21" hidden="1" customHeight="1" x14ac:dyDescent="0.3">
      <c r="B175" s="92" t="s">
        <v>245</v>
      </c>
      <c r="C175" s="83"/>
      <c r="D175" s="111" t="s">
        <v>241</v>
      </c>
      <c r="E175" s="111" t="s">
        <v>243</v>
      </c>
      <c r="F175" s="208">
        <v>9900308</v>
      </c>
      <c r="G175" s="89" t="s">
        <v>246</v>
      </c>
      <c r="H175" s="89"/>
      <c r="I175" s="111" t="s">
        <v>243</v>
      </c>
      <c r="J175" s="99">
        <v>240.5</v>
      </c>
      <c r="K175" s="99"/>
      <c r="L175" s="99">
        <v>240.5</v>
      </c>
      <c r="M175" s="99">
        <v>240.5</v>
      </c>
      <c r="N175" s="108">
        <v>240.5</v>
      </c>
      <c r="O175" s="109">
        <v>240.5</v>
      </c>
      <c r="P175" s="109">
        <v>240.5</v>
      </c>
      <c r="Q175" s="109">
        <v>240.5</v>
      </c>
      <c r="R175" s="109">
        <v>240.5</v>
      </c>
    </row>
    <row r="176" spans="2:24" ht="13.5" hidden="1" thickBot="1" x14ac:dyDescent="0.3">
      <c r="B176" s="153" t="s">
        <v>247</v>
      </c>
      <c r="C176" s="110"/>
      <c r="D176" s="110" t="s">
        <v>241</v>
      </c>
      <c r="E176" s="110" t="s">
        <v>248</v>
      </c>
      <c r="F176" s="110"/>
      <c r="G176" s="111"/>
      <c r="H176" s="111"/>
      <c r="I176" s="110" t="s">
        <v>248</v>
      </c>
      <c r="J176" s="103">
        <f>J177</f>
        <v>172</v>
      </c>
      <c r="K176" s="103"/>
      <c r="L176" s="103">
        <f t="shared" ref="L176:R177" si="62">L177</f>
        <v>172</v>
      </c>
      <c r="M176" s="103">
        <f t="shared" si="62"/>
        <v>172</v>
      </c>
      <c r="N176" s="104">
        <f t="shared" si="62"/>
        <v>172</v>
      </c>
      <c r="O176" s="105">
        <f t="shared" si="62"/>
        <v>172</v>
      </c>
      <c r="P176" s="105">
        <f t="shared" si="62"/>
        <v>172</v>
      </c>
      <c r="Q176" s="105">
        <f t="shared" si="62"/>
        <v>172</v>
      </c>
      <c r="R176" s="105">
        <f t="shared" si="62"/>
        <v>172</v>
      </c>
    </row>
    <row r="177" spans="1:256" s="10" customFormat="1" ht="21" hidden="1" customHeight="1" x14ac:dyDescent="0.25">
      <c r="A177" s="1"/>
      <c r="B177" s="209" t="s">
        <v>249</v>
      </c>
      <c r="C177" s="209"/>
      <c r="D177" s="111" t="s">
        <v>241</v>
      </c>
      <c r="E177" s="111" t="s">
        <v>248</v>
      </c>
      <c r="F177" s="208">
        <v>9901073</v>
      </c>
      <c r="G177" s="111"/>
      <c r="H177" s="111"/>
      <c r="I177" s="111" t="s">
        <v>248</v>
      </c>
      <c r="J177" s="99">
        <f>J178</f>
        <v>172</v>
      </c>
      <c r="K177" s="99"/>
      <c r="L177" s="99">
        <f t="shared" si="62"/>
        <v>172</v>
      </c>
      <c r="M177" s="99">
        <f t="shared" si="62"/>
        <v>172</v>
      </c>
      <c r="N177" s="108">
        <f t="shared" si="62"/>
        <v>172</v>
      </c>
      <c r="O177" s="109">
        <f t="shared" si="62"/>
        <v>172</v>
      </c>
      <c r="P177" s="109">
        <f t="shared" si="62"/>
        <v>172</v>
      </c>
      <c r="Q177" s="109">
        <f t="shared" si="62"/>
        <v>172</v>
      </c>
      <c r="R177" s="109">
        <f t="shared" si="62"/>
        <v>172</v>
      </c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10" customFormat="1" ht="21" hidden="1" customHeight="1" x14ac:dyDescent="0.3">
      <c r="A178" s="1"/>
      <c r="B178" s="92" t="s">
        <v>245</v>
      </c>
      <c r="C178" s="209"/>
      <c r="D178" s="111" t="s">
        <v>241</v>
      </c>
      <c r="E178" s="111" t="s">
        <v>248</v>
      </c>
      <c r="F178" s="208">
        <v>9901073</v>
      </c>
      <c r="G178" s="111" t="s">
        <v>246</v>
      </c>
      <c r="H178" s="111"/>
      <c r="I178" s="111" t="s">
        <v>248</v>
      </c>
      <c r="J178" s="99">
        <v>172</v>
      </c>
      <c r="K178" s="99"/>
      <c r="L178" s="99">
        <v>172</v>
      </c>
      <c r="M178" s="99">
        <v>172</v>
      </c>
      <c r="N178" s="108">
        <v>172</v>
      </c>
      <c r="O178" s="109">
        <v>172</v>
      </c>
      <c r="P178" s="109">
        <v>172</v>
      </c>
      <c r="Q178" s="109">
        <v>172</v>
      </c>
      <c r="R178" s="109">
        <v>172</v>
      </c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10" customFormat="1" ht="14.5" hidden="1" thickBot="1" x14ac:dyDescent="0.3">
      <c r="A179" s="1"/>
      <c r="B179" s="74" t="s">
        <v>250</v>
      </c>
      <c r="C179" s="75"/>
      <c r="D179" s="75" t="s">
        <v>251</v>
      </c>
      <c r="E179" s="75"/>
      <c r="F179" s="75"/>
      <c r="G179" s="75"/>
      <c r="H179" s="75"/>
      <c r="I179" s="75"/>
      <c r="J179" s="131">
        <f>J181</f>
        <v>3930</v>
      </c>
      <c r="K179" s="131"/>
      <c r="L179" s="131">
        <f t="shared" ref="L179:R179" si="63">L181</f>
        <v>3930</v>
      </c>
      <c r="M179" s="131">
        <f t="shared" si="63"/>
        <v>1185</v>
      </c>
      <c r="N179" s="128">
        <f t="shared" si="63"/>
        <v>3930</v>
      </c>
      <c r="O179" s="129">
        <f t="shared" si="63"/>
        <v>3930</v>
      </c>
      <c r="P179" s="129">
        <f t="shared" si="63"/>
        <v>3930</v>
      </c>
      <c r="Q179" s="129">
        <f t="shared" si="63"/>
        <v>3930</v>
      </c>
      <c r="R179" s="129">
        <f t="shared" si="63"/>
        <v>3930</v>
      </c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10" customFormat="1" ht="24" hidden="1" customHeight="1" x14ac:dyDescent="0.25">
      <c r="A180" s="1"/>
      <c r="B180" s="100" t="s">
        <v>252</v>
      </c>
      <c r="C180" s="111"/>
      <c r="D180" s="110" t="s">
        <v>251</v>
      </c>
      <c r="E180" s="110" t="s">
        <v>253</v>
      </c>
      <c r="F180" s="110"/>
      <c r="G180" s="110"/>
      <c r="H180" s="110"/>
      <c r="I180" s="110" t="s">
        <v>253</v>
      </c>
      <c r="J180" s="95">
        <f>J181</f>
        <v>3930</v>
      </c>
      <c r="K180" s="95"/>
      <c r="L180" s="95">
        <f t="shared" ref="L180:R180" si="64">L181</f>
        <v>3930</v>
      </c>
      <c r="M180" s="95">
        <f t="shared" si="64"/>
        <v>1185</v>
      </c>
      <c r="N180" s="108">
        <f t="shared" si="64"/>
        <v>3930</v>
      </c>
      <c r="O180" s="109">
        <f t="shared" si="64"/>
        <v>3930</v>
      </c>
      <c r="P180" s="109">
        <f t="shared" si="64"/>
        <v>3930</v>
      </c>
      <c r="Q180" s="109">
        <f t="shared" si="64"/>
        <v>3930</v>
      </c>
      <c r="R180" s="109">
        <f t="shared" si="64"/>
        <v>3930</v>
      </c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10" customFormat="1" ht="58.5" hidden="1" customHeight="1" x14ac:dyDescent="0.25">
      <c r="A181" s="1"/>
      <c r="B181" s="148" t="s">
        <v>254</v>
      </c>
      <c r="C181" s="111"/>
      <c r="D181" s="111" t="s">
        <v>251</v>
      </c>
      <c r="E181" s="111" t="s">
        <v>253</v>
      </c>
      <c r="F181" s="111" t="s">
        <v>255</v>
      </c>
      <c r="G181" s="210"/>
      <c r="H181" s="210"/>
      <c r="I181" s="111" t="s">
        <v>253</v>
      </c>
      <c r="J181" s="211">
        <f>J184+J188</f>
        <v>3930</v>
      </c>
      <c r="K181" s="211"/>
      <c r="L181" s="211">
        <f t="shared" ref="L181:R181" si="65">L184+L188</f>
        <v>3930</v>
      </c>
      <c r="M181" s="211">
        <f t="shared" si="65"/>
        <v>1185</v>
      </c>
      <c r="N181" s="141">
        <f t="shared" si="65"/>
        <v>3930</v>
      </c>
      <c r="O181" s="212">
        <f t="shared" si="65"/>
        <v>3930</v>
      </c>
      <c r="P181" s="212">
        <f t="shared" si="65"/>
        <v>3930</v>
      </c>
      <c r="Q181" s="142">
        <f t="shared" si="65"/>
        <v>3930</v>
      </c>
      <c r="R181" s="142">
        <f t="shared" si="65"/>
        <v>3930</v>
      </c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10" customFormat="1" ht="52.5" hidden="1" thickBot="1" x14ac:dyDescent="0.3">
      <c r="A182" s="1"/>
      <c r="B182" s="136" t="s">
        <v>256</v>
      </c>
      <c r="C182" s="111"/>
      <c r="D182" s="111" t="s">
        <v>251</v>
      </c>
      <c r="E182" s="111" t="s">
        <v>253</v>
      </c>
      <c r="F182" s="111" t="s">
        <v>257</v>
      </c>
      <c r="G182" s="111"/>
      <c r="H182" s="111"/>
      <c r="I182" s="111" t="s">
        <v>253</v>
      </c>
      <c r="J182" s="95"/>
      <c r="K182" s="95"/>
      <c r="L182" s="95"/>
      <c r="M182" s="95"/>
      <c r="N182" s="108"/>
      <c r="O182" s="109"/>
      <c r="P182" s="109"/>
      <c r="Q182" s="109"/>
      <c r="R182" s="109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10" customFormat="1" ht="65.5" hidden="1" thickBot="1" x14ac:dyDescent="0.3">
      <c r="A183" s="1"/>
      <c r="B183" s="125" t="s">
        <v>258</v>
      </c>
      <c r="C183" s="111"/>
      <c r="D183" s="111" t="s">
        <v>251</v>
      </c>
      <c r="E183" s="111" t="s">
        <v>253</v>
      </c>
      <c r="F183" s="111" t="s">
        <v>259</v>
      </c>
      <c r="G183" s="111"/>
      <c r="H183" s="111"/>
      <c r="I183" s="111" t="s">
        <v>253</v>
      </c>
      <c r="J183" s="95"/>
      <c r="K183" s="95"/>
      <c r="L183" s="95"/>
      <c r="M183" s="95"/>
      <c r="N183" s="108"/>
      <c r="O183" s="109"/>
      <c r="P183" s="109"/>
      <c r="Q183" s="109"/>
      <c r="R183" s="109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10" customFormat="1" ht="78.5" hidden="1" thickBot="1" x14ac:dyDescent="0.3">
      <c r="A184" s="1"/>
      <c r="B184" s="136" t="s">
        <v>260</v>
      </c>
      <c r="C184" s="111"/>
      <c r="D184" s="111" t="s">
        <v>251</v>
      </c>
      <c r="E184" s="111" t="s">
        <v>253</v>
      </c>
      <c r="F184" s="110" t="s">
        <v>261</v>
      </c>
      <c r="G184" s="111"/>
      <c r="H184" s="111"/>
      <c r="I184" s="111" t="s">
        <v>253</v>
      </c>
      <c r="J184" s="91">
        <f>J185</f>
        <v>3600</v>
      </c>
      <c r="K184" s="91"/>
      <c r="L184" s="91">
        <f t="shared" ref="L184:R185" si="66">L185</f>
        <v>3600</v>
      </c>
      <c r="M184" s="91">
        <f t="shared" si="66"/>
        <v>850</v>
      </c>
      <c r="N184" s="86">
        <f t="shared" si="66"/>
        <v>3600</v>
      </c>
      <c r="O184" s="87">
        <f t="shared" si="66"/>
        <v>3600</v>
      </c>
      <c r="P184" s="87">
        <f t="shared" si="66"/>
        <v>3600</v>
      </c>
      <c r="Q184" s="87">
        <f t="shared" si="66"/>
        <v>3600</v>
      </c>
      <c r="R184" s="87">
        <f t="shared" si="66"/>
        <v>3600</v>
      </c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10" customFormat="1" ht="80.5" hidden="1" customHeight="1" x14ac:dyDescent="0.25">
      <c r="A185" s="1"/>
      <c r="B185" s="106" t="s">
        <v>262</v>
      </c>
      <c r="C185" s="111"/>
      <c r="D185" s="111" t="s">
        <v>251</v>
      </c>
      <c r="E185" s="111" t="s">
        <v>253</v>
      </c>
      <c r="F185" s="111" t="s">
        <v>263</v>
      </c>
      <c r="G185" s="111"/>
      <c r="H185" s="111"/>
      <c r="I185" s="111" t="s">
        <v>253</v>
      </c>
      <c r="J185" s="95">
        <f>J186</f>
        <v>3600</v>
      </c>
      <c r="K185" s="95"/>
      <c r="L185" s="95">
        <f t="shared" si="66"/>
        <v>3600</v>
      </c>
      <c r="M185" s="95">
        <f t="shared" si="66"/>
        <v>850</v>
      </c>
      <c r="N185" s="108">
        <f t="shared" si="66"/>
        <v>3600</v>
      </c>
      <c r="O185" s="109">
        <f t="shared" si="66"/>
        <v>3600</v>
      </c>
      <c r="P185" s="109">
        <f t="shared" si="66"/>
        <v>3600</v>
      </c>
      <c r="Q185" s="109">
        <f t="shared" si="66"/>
        <v>3600</v>
      </c>
      <c r="R185" s="109">
        <f t="shared" si="66"/>
        <v>3600</v>
      </c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10" customFormat="1" ht="13.5" hidden="1" thickBot="1" x14ac:dyDescent="0.35">
      <c r="A186" s="1"/>
      <c r="B186" s="118" t="s">
        <v>42</v>
      </c>
      <c r="C186" s="111"/>
      <c r="D186" s="111" t="s">
        <v>251</v>
      </c>
      <c r="E186" s="111" t="s">
        <v>253</v>
      </c>
      <c r="F186" s="111" t="s">
        <v>263</v>
      </c>
      <c r="G186" s="111" t="s">
        <v>65</v>
      </c>
      <c r="H186" s="111"/>
      <c r="I186" s="111" t="s">
        <v>253</v>
      </c>
      <c r="J186" s="95">
        <v>3600</v>
      </c>
      <c r="K186" s="95"/>
      <c r="L186" s="95">
        <v>3600</v>
      </c>
      <c r="M186" s="95">
        <v>850</v>
      </c>
      <c r="N186" s="108">
        <v>3600</v>
      </c>
      <c r="O186" s="109">
        <v>3600</v>
      </c>
      <c r="P186" s="109">
        <v>3600</v>
      </c>
      <c r="Q186" s="109">
        <v>3600</v>
      </c>
      <c r="R186" s="109">
        <v>3600</v>
      </c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10" customFormat="1" ht="52.5" hidden="1" thickBot="1" x14ac:dyDescent="0.3">
      <c r="A187" s="1"/>
      <c r="B187" s="125" t="s">
        <v>264</v>
      </c>
      <c r="C187" s="111"/>
      <c r="D187" s="111" t="s">
        <v>251</v>
      </c>
      <c r="E187" s="111" t="s">
        <v>253</v>
      </c>
      <c r="F187" s="111" t="s">
        <v>265</v>
      </c>
      <c r="G187" s="111"/>
      <c r="H187" s="111"/>
      <c r="I187" s="111" t="s">
        <v>253</v>
      </c>
      <c r="J187" s="99"/>
      <c r="K187" s="99"/>
      <c r="L187" s="99"/>
      <c r="M187" s="99"/>
      <c r="N187" s="108"/>
      <c r="O187" s="109"/>
      <c r="P187" s="109"/>
      <c r="Q187" s="109"/>
      <c r="R187" s="109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10" customFormat="1" ht="78.5" hidden="1" thickBot="1" x14ac:dyDescent="0.3">
      <c r="A188" s="1"/>
      <c r="B188" s="213" t="s">
        <v>266</v>
      </c>
      <c r="C188" s="111"/>
      <c r="D188" s="111" t="s">
        <v>251</v>
      </c>
      <c r="E188" s="111" t="s">
        <v>253</v>
      </c>
      <c r="F188" s="110" t="s">
        <v>267</v>
      </c>
      <c r="G188" s="111"/>
      <c r="H188" s="111"/>
      <c r="I188" s="111" t="s">
        <v>253</v>
      </c>
      <c r="J188" s="103">
        <f>J189</f>
        <v>330</v>
      </c>
      <c r="K188" s="103"/>
      <c r="L188" s="103">
        <f t="shared" ref="L188:R188" si="67">L189</f>
        <v>330</v>
      </c>
      <c r="M188" s="103">
        <f t="shared" si="67"/>
        <v>335</v>
      </c>
      <c r="N188" s="104">
        <f t="shared" si="67"/>
        <v>330</v>
      </c>
      <c r="O188" s="105">
        <f t="shared" si="67"/>
        <v>330</v>
      </c>
      <c r="P188" s="105">
        <f t="shared" si="67"/>
        <v>330</v>
      </c>
      <c r="Q188" s="105">
        <f t="shared" si="67"/>
        <v>330</v>
      </c>
      <c r="R188" s="105">
        <f t="shared" si="67"/>
        <v>330</v>
      </c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10" customFormat="1" ht="92.25" hidden="1" customHeight="1" x14ac:dyDescent="0.25">
      <c r="A189" s="1"/>
      <c r="B189" s="125" t="s">
        <v>268</v>
      </c>
      <c r="C189" s="111"/>
      <c r="D189" s="111" t="s">
        <v>251</v>
      </c>
      <c r="E189" s="111" t="s">
        <v>253</v>
      </c>
      <c r="F189" s="111" t="s">
        <v>269</v>
      </c>
      <c r="G189" s="111"/>
      <c r="H189" s="111"/>
      <c r="I189" s="111" t="s">
        <v>253</v>
      </c>
      <c r="J189" s="99">
        <f>J190</f>
        <v>330</v>
      </c>
      <c r="K189" s="99"/>
      <c r="L189" s="99">
        <f>L190</f>
        <v>330</v>
      </c>
      <c r="M189" s="99">
        <v>335</v>
      </c>
      <c r="N189" s="108">
        <f>N190</f>
        <v>330</v>
      </c>
      <c r="O189" s="109">
        <f>O190</f>
        <v>330</v>
      </c>
      <c r="P189" s="109">
        <f>P190</f>
        <v>330</v>
      </c>
      <c r="Q189" s="109">
        <f>Q190</f>
        <v>330</v>
      </c>
      <c r="R189" s="109">
        <f>R190</f>
        <v>330</v>
      </c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10" customFormat="1" ht="13.9" hidden="1" customHeight="1" x14ac:dyDescent="0.3">
      <c r="A190" s="1"/>
      <c r="B190" s="118" t="s">
        <v>42</v>
      </c>
      <c r="C190" s="111"/>
      <c r="D190" s="111" t="s">
        <v>251</v>
      </c>
      <c r="E190" s="111" t="s">
        <v>253</v>
      </c>
      <c r="F190" s="111" t="s">
        <v>269</v>
      </c>
      <c r="G190" s="111" t="s">
        <v>65</v>
      </c>
      <c r="H190" s="111"/>
      <c r="I190" s="111" t="s">
        <v>253</v>
      </c>
      <c r="J190" s="99">
        <v>330</v>
      </c>
      <c r="K190" s="99"/>
      <c r="L190" s="99">
        <v>330</v>
      </c>
      <c r="M190" s="99">
        <v>330</v>
      </c>
      <c r="N190" s="108">
        <v>330</v>
      </c>
      <c r="O190" s="109">
        <v>330</v>
      </c>
      <c r="P190" s="109">
        <v>330</v>
      </c>
      <c r="Q190" s="109">
        <v>330</v>
      </c>
      <c r="R190" s="109">
        <v>330</v>
      </c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10" customFormat="1" ht="13" hidden="1" thickBot="1" x14ac:dyDescent="0.3">
      <c r="A191" s="1"/>
      <c r="B191" s="2"/>
      <c r="C191" s="3"/>
      <c r="D191" s="4"/>
      <c r="E191" s="4"/>
      <c r="F191" s="4"/>
      <c r="G191" s="4"/>
      <c r="H191" s="4"/>
      <c r="I191" s="4"/>
      <c r="J191" s="5"/>
      <c r="K191" s="5"/>
      <c r="L191" s="5"/>
      <c r="M191" s="5"/>
      <c r="N191" s="6"/>
      <c r="O191" s="7"/>
      <c r="P191" s="7"/>
      <c r="Q191" s="7"/>
      <c r="R191" s="7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10" customFormat="1" ht="13" hidden="1" thickBot="1" x14ac:dyDescent="0.3">
      <c r="A192" s="1"/>
      <c r="B192" s="2"/>
      <c r="C192" s="3"/>
      <c r="D192" s="4"/>
      <c r="E192" s="4"/>
      <c r="F192" s="4"/>
      <c r="G192" s="4"/>
      <c r="H192" s="4"/>
      <c r="I192" s="4"/>
      <c r="J192" s="5"/>
      <c r="K192" s="5"/>
      <c r="L192" s="5"/>
      <c r="M192" s="5"/>
      <c r="N192" s="6"/>
      <c r="O192" s="7"/>
      <c r="P192" s="7"/>
      <c r="Q192" s="7"/>
      <c r="R192" s="7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10" customFormat="1" ht="13" hidden="1" thickBot="1" x14ac:dyDescent="0.3">
      <c r="A193" s="1"/>
      <c r="B193" s="2"/>
      <c r="C193" s="3"/>
      <c r="D193" s="4"/>
      <c r="E193" s="4"/>
      <c r="F193" s="4"/>
      <c r="G193" s="4"/>
      <c r="H193" s="4"/>
      <c r="I193" s="4"/>
      <c r="J193" s="5"/>
      <c r="K193" s="5"/>
      <c r="L193" s="5"/>
      <c r="M193" s="5"/>
      <c r="N193" s="6"/>
      <c r="O193" s="7"/>
      <c r="P193" s="7"/>
      <c r="Q193" s="7"/>
      <c r="R193" s="7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10" customFormat="1" ht="45" x14ac:dyDescent="0.25">
      <c r="A194" s="214"/>
      <c r="B194" s="215" t="s">
        <v>19</v>
      </c>
      <c r="C194" s="216"/>
      <c r="D194" s="217"/>
      <c r="E194" s="217"/>
      <c r="F194" s="218" t="s">
        <v>23</v>
      </c>
      <c r="G194" s="218" t="s">
        <v>24</v>
      </c>
      <c r="H194" s="218" t="s">
        <v>270</v>
      </c>
      <c r="I194" s="218" t="s">
        <v>271</v>
      </c>
      <c r="J194" s="219" t="s">
        <v>26</v>
      </c>
      <c r="K194" s="220"/>
      <c r="L194" s="221" t="s">
        <v>27</v>
      </c>
      <c r="M194" s="222" t="s">
        <v>28</v>
      </c>
      <c r="N194" s="223" t="s">
        <v>272</v>
      </c>
      <c r="O194" s="224" t="s">
        <v>273</v>
      </c>
      <c r="P194" s="225" t="s">
        <v>274</v>
      </c>
      <c r="Q194" s="226" t="s">
        <v>275</v>
      </c>
      <c r="R194" s="227" t="s">
        <v>276</v>
      </c>
      <c r="X194" s="228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10" customFormat="1" ht="15" x14ac:dyDescent="0.25">
      <c r="A195" s="229"/>
      <c r="B195" s="230" t="s">
        <v>277</v>
      </c>
      <c r="C195" s="231"/>
      <c r="D195" s="232"/>
      <c r="E195" s="232"/>
      <c r="F195" s="60"/>
      <c r="G195" s="60"/>
      <c r="H195" s="60"/>
      <c r="I195" s="60"/>
      <c r="J195" s="233">
        <f>J196+J384</f>
        <v>72325.900000000009</v>
      </c>
      <c r="K195" s="234"/>
      <c r="L195" s="235">
        <f t="shared" ref="L195:R195" si="68">L196+L384</f>
        <v>70391</v>
      </c>
      <c r="M195" s="236">
        <f t="shared" si="68"/>
        <v>70022.100000000006</v>
      </c>
      <c r="N195" s="237">
        <f>N196+N384</f>
        <v>117354.22194</v>
      </c>
      <c r="O195" s="238">
        <f t="shared" si="68"/>
        <v>78381.100000000006</v>
      </c>
      <c r="P195" s="239">
        <f t="shared" si="68"/>
        <v>79311.600000000006</v>
      </c>
      <c r="Q195" s="240">
        <f t="shared" si="68"/>
        <v>94571.081999999995</v>
      </c>
      <c r="R195" s="241">
        <f t="shared" si="68"/>
        <v>96198.399999999994</v>
      </c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10" customFormat="1" ht="15" x14ac:dyDescent="0.25">
      <c r="A196" s="229"/>
      <c r="B196" s="242" t="s">
        <v>278</v>
      </c>
      <c r="C196" s="231"/>
      <c r="D196" s="232"/>
      <c r="E196" s="232"/>
      <c r="F196" s="60"/>
      <c r="G196" s="60"/>
      <c r="H196" s="60"/>
      <c r="I196" s="60"/>
      <c r="J196" s="235">
        <f>J197+J210+J221+J252+J272+J296+J305+J361</f>
        <v>25287.312000000002</v>
      </c>
      <c r="K196" s="234"/>
      <c r="L196" s="235">
        <f>L197+L210+L221+L252+L272+L296+L305+L361</f>
        <v>42242.735000000001</v>
      </c>
      <c r="M196" s="236">
        <f>M197+M210+M221+M252+M272+M296+M305+M361</f>
        <v>40917.551999999996</v>
      </c>
      <c r="N196" s="237">
        <f>N197+N210+N221+N252+N272+N296+N305+N317+N347+N371+N377</f>
        <v>82042.228600000002</v>
      </c>
      <c r="O196" s="243">
        <f>O361+O317+O305+O296+O272+O252+O221+O210+O197</f>
        <v>55959.275000000001</v>
      </c>
      <c r="P196" s="243">
        <f>P361+P317+P305+P296+P272+P252+P221+P210+P197</f>
        <v>55434.17</v>
      </c>
      <c r="Q196" s="244">
        <f>Q361+Q317+Q305+Q296+Q272+Q252+Q221+Q210+Q197+Q328+Q347</f>
        <v>64557.609999999993</v>
      </c>
      <c r="R196" s="241">
        <f>R361+R317+R305+R296+R272+R252+R221+R210+R197+R328+R347</f>
        <v>66074.811000000002</v>
      </c>
      <c r="W196" s="228"/>
      <c r="X196" s="228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10" customFormat="1" ht="48" customHeight="1" x14ac:dyDescent="0.25">
      <c r="A197" s="245">
        <v>1</v>
      </c>
      <c r="B197" s="148" t="s">
        <v>279</v>
      </c>
      <c r="C197" s="111"/>
      <c r="D197" s="111" t="s">
        <v>251</v>
      </c>
      <c r="E197" s="111" t="s">
        <v>253</v>
      </c>
      <c r="F197" s="110" t="s">
        <v>280</v>
      </c>
      <c r="G197" s="210"/>
      <c r="H197" s="210"/>
      <c r="I197" s="111"/>
      <c r="J197" s="246">
        <f>J200+J205</f>
        <v>330</v>
      </c>
      <c r="K197" s="211"/>
      <c r="L197" s="211">
        <f t="shared" ref="L197:R197" si="69">L200+L205</f>
        <v>3930</v>
      </c>
      <c r="M197" s="247">
        <f t="shared" si="69"/>
        <v>1185</v>
      </c>
      <c r="N197" s="248">
        <f t="shared" si="69"/>
        <v>1800</v>
      </c>
      <c r="O197" s="249">
        <f t="shared" si="69"/>
        <v>450</v>
      </c>
      <c r="P197" s="249">
        <f t="shared" si="69"/>
        <v>500</v>
      </c>
      <c r="Q197" s="250">
        <f t="shared" si="69"/>
        <v>650</v>
      </c>
      <c r="R197" s="251">
        <f t="shared" si="69"/>
        <v>700</v>
      </c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10" customFormat="1" ht="52" hidden="1" x14ac:dyDescent="0.25">
      <c r="A198" s="229"/>
      <c r="B198" s="136" t="s">
        <v>256</v>
      </c>
      <c r="C198" s="111"/>
      <c r="D198" s="111" t="s">
        <v>251</v>
      </c>
      <c r="E198" s="111" t="s">
        <v>253</v>
      </c>
      <c r="F198" s="111" t="s">
        <v>257</v>
      </c>
      <c r="G198" s="111"/>
      <c r="H198" s="111"/>
      <c r="I198" s="111"/>
      <c r="J198" s="95"/>
      <c r="K198" s="95"/>
      <c r="L198" s="95"/>
      <c r="M198" s="252"/>
      <c r="N198" s="253"/>
      <c r="O198" s="142"/>
      <c r="P198" s="109"/>
      <c r="Q198" s="254"/>
      <c r="R198" s="255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10" customFormat="1" ht="65" hidden="1" x14ac:dyDescent="0.25">
      <c r="A199" s="229"/>
      <c r="B199" s="106" t="s">
        <v>258</v>
      </c>
      <c r="C199" s="111"/>
      <c r="D199" s="111" t="s">
        <v>251</v>
      </c>
      <c r="E199" s="111" t="s">
        <v>253</v>
      </c>
      <c r="F199" s="111" t="s">
        <v>259</v>
      </c>
      <c r="G199" s="111"/>
      <c r="H199" s="111"/>
      <c r="I199" s="111"/>
      <c r="J199" s="95"/>
      <c r="K199" s="95"/>
      <c r="L199" s="95"/>
      <c r="M199" s="252"/>
      <c r="N199" s="253"/>
      <c r="O199" s="142"/>
      <c r="P199" s="109"/>
      <c r="Q199" s="254"/>
      <c r="R199" s="255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10" customFormat="1" ht="78" hidden="1" x14ac:dyDescent="0.3">
      <c r="A200" s="229"/>
      <c r="B200" s="136" t="s">
        <v>281</v>
      </c>
      <c r="C200" s="111"/>
      <c r="D200" s="111" t="s">
        <v>251</v>
      </c>
      <c r="E200" s="111" t="s">
        <v>253</v>
      </c>
      <c r="F200" s="110" t="s">
        <v>261</v>
      </c>
      <c r="G200" s="111"/>
      <c r="H200" s="111"/>
      <c r="I200" s="111"/>
      <c r="J200" s="91">
        <f>J201</f>
        <v>0</v>
      </c>
      <c r="K200" s="91"/>
      <c r="L200" s="91">
        <f t="shared" ref="L200:R201" si="70">L201</f>
        <v>3600</v>
      </c>
      <c r="M200" s="256">
        <f t="shared" si="70"/>
        <v>850</v>
      </c>
      <c r="N200" s="257">
        <f t="shared" si="70"/>
        <v>0</v>
      </c>
      <c r="O200" s="258">
        <f t="shared" si="70"/>
        <v>0</v>
      </c>
      <c r="P200" s="87">
        <f t="shared" si="70"/>
        <v>0</v>
      </c>
      <c r="Q200" s="259">
        <f t="shared" si="70"/>
        <v>0</v>
      </c>
      <c r="R200" s="260">
        <f t="shared" si="70"/>
        <v>0</v>
      </c>
      <c r="S200" s="261"/>
      <c r="T200" s="26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0" customFormat="1" ht="91" hidden="1" x14ac:dyDescent="0.3">
      <c r="A201" s="229"/>
      <c r="B201" s="106" t="s">
        <v>282</v>
      </c>
      <c r="C201" s="111"/>
      <c r="D201" s="111" t="s">
        <v>251</v>
      </c>
      <c r="E201" s="111" t="s">
        <v>253</v>
      </c>
      <c r="F201" s="111" t="s">
        <v>263</v>
      </c>
      <c r="G201" s="111"/>
      <c r="H201" s="111"/>
      <c r="I201" s="111"/>
      <c r="J201" s="95">
        <f>J202</f>
        <v>0</v>
      </c>
      <c r="K201" s="95"/>
      <c r="L201" s="95">
        <f t="shared" si="70"/>
        <v>3600</v>
      </c>
      <c r="M201" s="252">
        <f t="shared" si="70"/>
        <v>850</v>
      </c>
      <c r="N201" s="253">
        <f t="shared" si="70"/>
        <v>0</v>
      </c>
      <c r="O201" s="142">
        <f t="shared" si="70"/>
        <v>0</v>
      </c>
      <c r="P201" s="109">
        <f t="shared" si="70"/>
        <v>0</v>
      </c>
      <c r="Q201" s="254">
        <f t="shared" si="70"/>
        <v>0</v>
      </c>
      <c r="R201" s="255">
        <f t="shared" si="70"/>
        <v>0</v>
      </c>
      <c r="S201" s="261"/>
      <c r="T201" s="26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10" customFormat="1" ht="26" hidden="1" x14ac:dyDescent="0.3">
      <c r="A202" s="229"/>
      <c r="B202" s="262" t="s">
        <v>283</v>
      </c>
      <c r="C202" s="111"/>
      <c r="D202" s="111" t="s">
        <v>251</v>
      </c>
      <c r="E202" s="111" t="s">
        <v>253</v>
      </c>
      <c r="F202" s="111" t="s">
        <v>263</v>
      </c>
      <c r="G202" s="111" t="s">
        <v>65</v>
      </c>
      <c r="H202" s="111"/>
      <c r="I202" s="111"/>
      <c r="J202" s="95">
        <f>J204</f>
        <v>0</v>
      </c>
      <c r="K202" s="95"/>
      <c r="L202" s="95">
        <v>3600</v>
      </c>
      <c r="M202" s="252">
        <v>850</v>
      </c>
      <c r="N202" s="253">
        <f>N204</f>
        <v>0</v>
      </c>
      <c r="O202" s="142">
        <f>O204</f>
        <v>0</v>
      </c>
      <c r="P202" s="109">
        <f>P204</f>
        <v>0</v>
      </c>
      <c r="Q202" s="254">
        <f>Q204</f>
        <v>0</v>
      </c>
      <c r="R202" s="255">
        <f>R204</f>
        <v>0</v>
      </c>
      <c r="S202" s="261"/>
      <c r="T202" s="26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s="10" customFormat="1" ht="52" hidden="1" x14ac:dyDescent="0.3">
      <c r="A203" s="229"/>
      <c r="B203" s="106" t="s">
        <v>264</v>
      </c>
      <c r="C203" s="111"/>
      <c r="D203" s="111" t="s">
        <v>251</v>
      </c>
      <c r="E203" s="111" t="s">
        <v>253</v>
      </c>
      <c r="F203" s="111" t="s">
        <v>265</v>
      </c>
      <c r="G203" s="111"/>
      <c r="H203" s="111"/>
      <c r="I203" s="111" t="s">
        <v>253</v>
      </c>
      <c r="J203" s="99"/>
      <c r="K203" s="99"/>
      <c r="L203" s="99"/>
      <c r="M203" s="263"/>
      <c r="N203" s="253"/>
      <c r="O203" s="142"/>
      <c r="P203" s="109"/>
      <c r="Q203" s="254"/>
      <c r="R203" s="255"/>
      <c r="S203" s="261"/>
      <c r="T203" s="26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s="10" customFormat="1" ht="15" hidden="1" x14ac:dyDescent="0.3">
      <c r="A204" s="229"/>
      <c r="B204" s="106" t="s">
        <v>252</v>
      </c>
      <c r="C204" s="111"/>
      <c r="D204" s="111"/>
      <c r="E204" s="111"/>
      <c r="F204" s="111" t="s">
        <v>263</v>
      </c>
      <c r="G204" s="111" t="s">
        <v>65</v>
      </c>
      <c r="H204" s="111" t="s">
        <v>284</v>
      </c>
      <c r="I204" s="111" t="s">
        <v>285</v>
      </c>
      <c r="J204" s="95"/>
      <c r="K204" s="95"/>
      <c r="L204" s="95">
        <v>3600</v>
      </c>
      <c r="M204" s="252">
        <v>850</v>
      </c>
      <c r="N204" s="253"/>
      <c r="O204" s="142"/>
      <c r="P204" s="109"/>
      <c r="Q204" s="254"/>
      <c r="R204" s="255"/>
      <c r="S204" s="261"/>
      <c r="T204" s="26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s="10" customFormat="1" ht="39" x14ac:dyDescent="0.3">
      <c r="A205" s="229"/>
      <c r="B205" s="136" t="s">
        <v>286</v>
      </c>
      <c r="C205" s="111"/>
      <c r="D205" s="111" t="s">
        <v>251</v>
      </c>
      <c r="E205" s="111" t="s">
        <v>253</v>
      </c>
      <c r="F205" s="111" t="s">
        <v>287</v>
      </c>
      <c r="G205" s="111"/>
      <c r="H205" s="111"/>
      <c r="I205" s="111"/>
      <c r="J205" s="103">
        <f>J206</f>
        <v>330</v>
      </c>
      <c r="K205" s="103"/>
      <c r="L205" s="103">
        <f t="shared" ref="L205:R205" si="71">L206</f>
        <v>330</v>
      </c>
      <c r="M205" s="264">
        <f t="shared" si="71"/>
        <v>335</v>
      </c>
      <c r="N205" s="248">
        <f t="shared" si="71"/>
        <v>1800</v>
      </c>
      <c r="O205" s="265">
        <f t="shared" si="71"/>
        <v>450</v>
      </c>
      <c r="P205" s="105">
        <f t="shared" si="71"/>
        <v>500</v>
      </c>
      <c r="Q205" s="266">
        <f t="shared" si="71"/>
        <v>650</v>
      </c>
      <c r="R205" s="251">
        <f t="shared" si="71"/>
        <v>700</v>
      </c>
      <c r="S205" s="261"/>
      <c r="T205" s="26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s="10" customFormat="1" ht="39" x14ac:dyDescent="0.25">
      <c r="A206" s="229"/>
      <c r="B206" s="267" t="s">
        <v>288</v>
      </c>
      <c r="C206" s="111"/>
      <c r="D206" s="111" t="s">
        <v>251</v>
      </c>
      <c r="E206" s="111" t="s">
        <v>253</v>
      </c>
      <c r="F206" s="111" t="s">
        <v>289</v>
      </c>
      <c r="G206" s="111"/>
      <c r="H206" s="111"/>
      <c r="I206" s="111"/>
      <c r="J206" s="99">
        <f>J208</f>
        <v>330</v>
      </c>
      <c r="K206" s="99"/>
      <c r="L206" s="99">
        <f>L208</f>
        <v>330</v>
      </c>
      <c r="M206" s="263">
        <v>335</v>
      </c>
      <c r="N206" s="253">
        <f t="shared" ref="N206:R207" si="72">N208</f>
        <v>1800</v>
      </c>
      <c r="O206" s="142">
        <f t="shared" si="72"/>
        <v>450</v>
      </c>
      <c r="P206" s="109">
        <f t="shared" si="72"/>
        <v>500</v>
      </c>
      <c r="Q206" s="254">
        <f t="shared" si="72"/>
        <v>650</v>
      </c>
      <c r="R206" s="255">
        <f t="shared" si="72"/>
        <v>700</v>
      </c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s="10" customFormat="1" ht="26" x14ac:dyDescent="0.25">
      <c r="A207" s="229"/>
      <c r="B207" s="106" t="s">
        <v>290</v>
      </c>
      <c r="C207" s="111"/>
      <c r="D207" s="111" t="s">
        <v>251</v>
      </c>
      <c r="E207" s="111" t="s">
        <v>253</v>
      </c>
      <c r="F207" s="111" t="s">
        <v>291</v>
      </c>
      <c r="G207" s="111"/>
      <c r="H207" s="111"/>
      <c r="I207" s="111"/>
      <c r="J207" s="99">
        <f>J209</f>
        <v>330</v>
      </c>
      <c r="K207" s="99"/>
      <c r="L207" s="99"/>
      <c r="M207" s="263"/>
      <c r="N207" s="253">
        <f t="shared" si="72"/>
        <v>1800</v>
      </c>
      <c r="O207" s="142">
        <f t="shared" si="72"/>
        <v>450</v>
      </c>
      <c r="P207" s="109">
        <f t="shared" si="72"/>
        <v>500</v>
      </c>
      <c r="Q207" s="254">
        <f t="shared" si="72"/>
        <v>650</v>
      </c>
      <c r="R207" s="255">
        <f t="shared" si="72"/>
        <v>700</v>
      </c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s="10" customFormat="1" ht="25.15" customHeight="1" x14ac:dyDescent="0.25">
      <c r="A208" s="229"/>
      <c r="B208" s="262" t="s">
        <v>283</v>
      </c>
      <c r="C208" s="111"/>
      <c r="D208" s="111" t="s">
        <v>251</v>
      </c>
      <c r="E208" s="111" t="s">
        <v>253</v>
      </c>
      <c r="F208" s="111" t="s">
        <v>291</v>
      </c>
      <c r="G208" s="111" t="s">
        <v>65</v>
      </c>
      <c r="H208" s="111"/>
      <c r="I208" s="111"/>
      <c r="J208" s="99">
        <f>J209</f>
        <v>330</v>
      </c>
      <c r="K208" s="99"/>
      <c r="L208" s="99">
        <v>330</v>
      </c>
      <c r="M208" s="263">
        <v>330</v>
      </c>
      <c r="N208" s="253">
        <f>N209</f>
        <v>1800</v>
      </c>
      <c r="O208" s="142">
        <f>O209</f>
        <v>450</v>
      </c>
      <c r="P208" s="109">
        <f>P209</f>
        <v>500</v>
      </c>
      <c r="Q208" s="254">
        <f>Q209</f>
        <v>650</v>
      </c>
      <c r="R208" s="255">
        <f>R209</f>
        <v>700</v>
      </c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4" ht="13.9" customHeight="1" x14ac:dyDescent="0.25">
      <c r="A209" s="229"/>
      <c r="B209" s="106" t="s">
        <v>252</v>
      </c>
      <c r="C209" s="111"/>
      <c r="D209" s="111"/>
      <c r="E209" s="111"/>
      <c r="F209" s="111" t="s">
        <v>291</v>
      </c>
      <c r="G209" s="111" t="s">
        <v>65</v>
      </c>
      <c r="H209" s="111" t="s">
        <v>284</v>
      </c>
      <c r="I209" s="111" t="s">
        <v>285</v>
      </c>
      <c r="J209" s="99">
        <v>330</v>
      </c>
      <c r="K209" s="99"/>
      <c r="L209" s="99">
        <v>330</v>
      </c>
      <c r="M209" s="263">
        <v>330</v>
      </c>
      <c r="N209" s="253">
        <f>600+1200</f>
        <v>1800</v>
      </c>
      <c r="O209" s="142">
        <v>450</v>
      </c>
      <c r="P209" s="109">
        <v>500</v>
      </c>
      <c r="Q209" s="254">
        <v>650</v>
      </c>
      <c r="R209" s="255">
        <v>700</v>
      </c>
    </row>
    <row r="210" spans="1:24" s="66" customFormat="1" ht="51.75" customHeight="1" x14ac:dyDescent="0.3">
      <c r="A210" s="245">
        <v>2</v>
      </c>
      <c r="B210" s="100" t="s">
        <v>292</v>
      </c>
      <c r="C210" s="111"/>
      <c r="D210" s="110" t="s">
        <v>119</v>
      </c>
      <c r="E210" s="110" t="s">
        <v>135</v>
      </c>
      <c r="F210" s="110" t="s">
        <v>293</v>
      </c>
      <c r="G210" s="132"/>
      <c r="H210" s="132"/>
      <c r="I210" s="110"/>
      <c r="J210" s="133">
        <f>J212</f>
        <v>305</v>
      </c>
      <c r="K210" s="133"/>
      <c r="L210" s="133">
        <f t="shared" ref="L210:R210" si="73">L212</f>
        <v>305</v>
      </c>
      <c r="M210" s="268">
        <f t="shared" si="73"/>
        <v>310</v>
      </c>
      <c r="N210" s="248">
        <f t="shared" si="73"/>
        <v>330</v>
      </c>
      <c r="O210" s="180">
        <f t="shared" si="73"/>
        <v>315</v>
      </c>
      <c r="P210" s="134">
        <f t="shared" si="73"/>
        <v>320</v>
      </c>
      <c r="Q210" s="269">
        <f t="shared" si="73"/>
        <v>330</v>
      </c>
      <c r="R210" s="270">
        <f t="shared" si="73"/>
        <v>350</v>
      </c>
      <c r="S210" s="73"/>
      <c r="T210" s="73"/>
      <c r="U210" s="73"/>
      <c r="V210" s="73"/>
      <c r="W210" s="73"/>
      <c r="X210" s="73"/>
    </row>
    <row r="211" spans="1:24" s="66" customFormat="1" ht="78" hidden="1" customHeight="1" x14ac:dyDescent="0.3">
      <c r="A211" s="271"/>
      <c r="B211" s="88" t="s">
        <v>138</v>
      </c>
      <c r="C211" s="73"/>
      <c r="D211" s="89" t="s">
        <v>119</v>
      </c>
      <c r="E211" s="89" t="s">
        <v>135</v>
      </c>
      <c r="F211" s="89" t="s">
        <v>139</v>
      </c>
      <c r="G211" s="111"/>
      <c r="H211" s="111"/>
      <c r="I211" s="89"/>
      <c r="J211" s="103"/>
      <c r="K211" s="103"/>
      <c r="L211" s="103"/>
      <c r="M211" s="264"/>
      <c r="N211" s="248"/>
      <c r="O211" s="265"/>
      <c r="P211" s="105"/>
      <c r="Q211" s="266"/>
      <c r="R211" s="251"/>
      <c r="S211" s="73"/>
      <c r="T211" s="73"/>
      <c r="U211" s="73"/>
      <c r="V211" s="73"/>
      <c r="W211" s="73"/>
      <c r="X211" s="73"/>
    </row>
    <row r="212" spans="1:24" s="66" customFormat="1" ht="55" customHeight="1" x14ac:dyDescent="0.3">
      <c r="A212" s="271"/>
      <c r="B212" s="272" t="s">
        <v>294</v>
      </c>
      <c r="C212" s="111"/>
      <c r="D212" s="89" t="s">
        <v>119</v>
      </c>
      <c r="E212" s="89" t="s">
        <v>135</v>
      </c>
      <c r="F212" s="111" t="s">
        <v>295</v>
      </c>
      <c r="G212" s="111"/>
      <c r="H212" s="111"/>
      <c r="I212" s="89"/>
      <c r="J212" s="99">
        <f>J214</f>
        <v>305</v>
      </c>
      <c r="K212" s="103"/>
      <c r="L212" s="103">
        <f t="shared" ref="L212:R212" si="74">L214</f>
        <v>305</v>
      </c>
      <c r="M212" s="264">
        <f t="shared" si="74"/>
        <v>310</v>
      </c>
      <c r="N212" s="253">
        <f t="shared" si="74"/>
        <v>330</v>
      </c>
      <c r="O212" s="142">
        <f t="shared" si="74"/>
        <v>315</v>
      </c>
      <c r="P212" s="109">
        <f t="shared" si="74"/>
        <v>320</v>
      </c>
      <c r="Q212" s="254">
        <f t="shared" si="74"/>
        <v>330</v>
      </c>
      <c r="R212" s="255">
        <f t="shared" si="74"/>
        <v>350</v>
      </c>
      <c r="S212" s="73"/>
      <c r="T212" s="73"/>
      <c r="U212" s="73"/>
      <c r="V212" s="73"/>
      <c r="W212" s="73"/>
      <c r="X212" s="73"/>
    </row>
    <row r="213" spans="1:24" s="66" customFormat="1" ht="26" x14ac:dyDescent="0.3">
      <c r="A213" s="271"/>
      <c r="B213" s="273" t="s">
        <v>296</v>
      </c>
      <c r="C213" s="111"/>
      <c r="D213" s="89"/>
      <c r="E213" s="89"/>
      <c r="F213" s="111" t="s">
        <v>295</v>
      </c>
      <c r="G213" s="111"/>
      <c r="H213" s="111"/>
      <c r="I213" s="89"/>
      <c r="J213" s="99">
        <f>J214</f>
        <v>305</v>
      </c>
      <c r="K213" s="103"/>
      <c r="L213" s="103"/>
      <c r="M213" s="264"/>
      <c r="N213" s="253">
        <f>N214</f>
        <v>330</v>
      </c>
      <c r="O213" s="142">
        <f>O214</f>
        <v>315</v>
      </c>
      <c r="P213" s="109">
        <f>P214</f>
        <v>320</v>
      </c>
      <c r="Q213" s="254">
        <f>Q214</f>
        <v>330</v>
      </c>
      <c r="R213" s="255">
        <f>R214</f>
        <v>350</v>
      </c>
      <c r="S213" s="73"/>
      <c r="T213" s="73"/>
      <c r="U213" s="73"/>
      <c r="V213" s="73"/>
      <c r="W213" s="73"/>
      <c r="X213" s="73"/>
    </row>
    <row r="214" spans="1:24" s="66" customFormat="1" ht="25.15" customHeight="1" x14ac:dyDescent="0.3">
      <c r="A214" s="271"/>
      <c r="B214" s="262" t="s">
        <v>283</v>
      </c>
      <c r="C214" s="111"/>
      <c r="D214" s="89" t="s">
        <v>119</v>
      </c>
      <c r="E214" s="89" t="s">
        <v>135</v>
      </c>
      <c r="F214" s="111" t="s">
        <v>295</v>
      </c>
      <c r="G214" s="111" t="s">
        <v>65</v>
      </c>
      <c r="H214" s="111"/>
      <c r="I214" s="89"/>
      <c r="J214" s="99">
        <f>J220</f>
        <v>305</v>
      </c>
      <c r="K214" s="103"/>
      <c r="L214" s="99">
        <v>305</v>
      </c>
      <c r="M214" s="263">
        <v>310</v>
      </c>
      <c r="N214" s="253">
        <f>N220</f>
        <v>330</v>
      </c>
      <c r="O214" s="142">
        <f>O220</f>
        <v>315</v>
      </c>
      <c r="P214" s="109">
        <f>P220</f>
        <v>320</v>
      </c>
      <c r="Q214" s="254">
        <f>Q220</f>
        <v>330</v>
      </c>
      <c r="R214" s="255">
        <f>R220</f>
        <v>350</v>
      </c>
      <c r="S214" s="73"/>
      <c r="T214" s="73"/>
      <c r="U214" s="73"/>
      <c r="V214" s="73"/>
      <c r="W214" s="73"/>
      <c r="X214" s="73"/>
    </row>
    <row r="215" spans="1:24" ht="53.5" hidden="1" customHeight="1" x14ac:dyDescent="0.25">
      <c r="A215" s="229"/>
      <c r="B215" s="100" t="s">
        <v>152</v>
      </c>
      <c r="C215" s="110"/>
      <c r="D215" s="60" t="s">
        <v>149</v>
      </c>
      <c r="E215" s="110" t="s">
        <v>151</v>
      </c>
      <c r="F215" s="110" t="s">
        <v>153</v>
      </c>
      <c r="G215" s="132"/>
      <c r="H215" s="132"/>
      <c r="I215" s="110" t="s">
        <v>151</v>
      </c>
      <c r="J215" s="132"/>
      <c r="K215" s="132"/>
      <c r="L215" s="10"/>
      <c r="M215" s="274"/>
      <c r="N215" s="248"/>
      <c r="O215" s="180"/>
      <c r="P215" s="134"/>
      <c r="Q215" s="269"/>
      <c r="R215" s="270"/>
    </row>
    <row r="216" spans="1:24" ht="65" hidden="1" x14ac:dyDescent="0.3">
      <c r="A216" s="229"/>
      <c r="B216" s="275" t="s">
        <v>154</v>
      </c>
      <c r="C216" s="111"/>
      <c r="D216" s="101" t="s">
        <v>149</v>
      </c>
      <c r="E216" s="111" t="s">
        <v>151</v>
      </c>
      <c r="F216" s="111" t="s">
        <v>155</v>
      </c>
      <c r="G216" s="111"/>
      <c r="H216" s="111"/>
      <c r="I216" s="111" t="s">
        <v>151</v>
      </c>
      <c r="J216" s="85"/>
      <c r="K216" s="85"/>
      <c r="L216" s="85"/>
      <c r="M216" s="276"/>
      <c r="N216" s="257"/>
      <c r="O216" s="258"/>
      <c r="P216" s="87"/>
      <c r="Q216" s="259"/>
      <c r="R216" s="260"/>
    </row>
    <row r="217" spans="1:24" ht="81.650000000000006" hidden="1" customHeight="1" x14ac:dyDescent="0.3">
      <c r="A217" s="229"/>
      <c r="B217" s="277" t="s">
        <v>156</v>
      </c>
      <c r="C217" s="111"/>
      <c r="D217" s="101" t="s">
        <v>149</v>
      </c>
      <c r="E217" s="111" t="s">
        <v>151</v>
      </c>
      <c r="F217" s="111" t="s">
        <v>157</v>
      </c>
      <c r="G217" s="111"/>
      <c r="H217" s="111"/>
      <c r="I217" s="111" t="s">
        <v>151</v>
      </c>
      <c r="J217" s="85"/>
      <c r="K217" s="85"/>
      <c r="L217" s="85"/>
      <c r="M217" s="276"/>
      <c r="N217" s="257"/>
      <c r="O217" s="258"/>
      <c r="P217" s="87"/>
      <c r="Q217" s="259"/>
      <c r="R217" s="260"/>
    </row>
    <row r="218" spans="1:24" ht="81" hidden="1" customHeight="1" x14ac:dyDescent="0.3">
      <c r="A218" s="229"/>
      <c r="B218" s="275" t="s">
        <v>158</v>
      </c>
      <c r="C218" s="111"/>
      <c r="D218" s="101" t="s">
        <v>149</v>
      </c>
      <c r="E218" s="111" t="s">
        <v>151</v>
      </c>
      <c r="F218" s="111" t="s">
        <v>159</v>
      </c>
      <c r="G218" s="111"/>
      <c r="H218" s="111"/>
      <c r="I218" s="111" t="s">
        <v>151</v>
      </c>
      <c r="J218" s="103"/>
      <c r="K218" s="103"/>
      <c r="L218" s="103"/>
      <c r="M218" s="264"/>
      <c r="N218" s="248"/>
      <c r="O218" s="265"/>
      <c r="P218" s="105"/>
      <c r="Q218" s="266"/>
      <c r="R218" s="251"/>
    </row>
    <row r="219" spans="1:24" ht="65" hidden="1" x14ac:dyDescent="0.3">
      <c r="A219" s="229"/>
      <c r="B219" s="277" t="s">
        <v>160</v>
      </c>
      <c r="C219" s="111"/>
      <c r="D219" s="101" t="s">
        <v>149</v>
      </c>
      <c r="E219" s="111" t="s">
        <v>151</v>
      </c>
      <c r="F219" s="111" t="s">
        <v>161</v>
      </c>
      <c r="G219" s="111"/>
      <c r="H219" s="111"/>
      <c r="I219" s="111" t="s">
        <v>151</v>
      </c>
      <c r="J219" s="103"/>
      <c r="K219" s="103"/>
      <c r="L219" s="103"/>
      <c r="M219" s="264"/>
      <c r="N219" s="248"/>
      <c r="O219" s="265"/>
      <c r="P219" s="105"/>
      <c r="Q219" s="266"/>
      <c r="R219" s="251"/>
    </row>
    <row r="220" spans="1:24" ht="13" x14ac:dyDescent="0.3">
      <c r="A220" s="229"/>
      <c r="B220" s="277" t="s">
        <v>134</v>
      </c>
      <c r="C220" s="111"/>
      <c r="D220" s="101"/>
      <c r="E220" s="111"/>
      <c r="F220" s="111" t="s">
        <v>297</v>
      </c>
      <c r="G220" s="111" t="s">
        <v>65</v>
      </c>
      <c r="H220" s="111" t="s">
        <v>298</v>
      </c>
      <c r="I220" s="89" t="s">
        <v>299</v>
      </c>
      <c r="J220" s="99">
        <v>305</v>
      </c>
      <c r="K220" s="103"/>
      <c r="L220" s="99">
        <v>305</v>
      </c>
      <c r="M220" s="263">
        <v>310</v>
      </c>
      <c r="N220" s="253">
        <v>330</v>
      </c>
      <c r="O220" s="142">
        <v>315</v>
      </c>
      <c r="P220" s="109">
        <v>320</v>
      </c>
      <c r="Q220" s="254">
        <v>330</v>
      </c>
      <c r="R220" s="255">
        <v>350</v>
      </c>
    </row>
    <row r="221" spans="1:24" ht="53.25" customHeight="1" x14ac:dyDescent="0.25">
      <c r="A221" s="245">
        <v>3</v>
      </c>
      <c r="B221" s="100" t="s">
        <v>300</v>
      </c>
      <c r="C221" s="110"/>
      <c r="D221" s="110" t="s">
        <v>211</v>
      </c>
      <c r="E221" s="110" t="s">
        <v>213</v>
      </c>
      <c r="F221" s="110" t="s">
        <v>301</v>
      </c>
      <c r="G221" s="132"/>
      <c r="H221" s="132"/>
      <c r="I221" s="110"/>
      <c r="J221" s="133">
        <f>J222+J233+J246</f>
        <v>7755.5</v>
      </c>
      <c r="K221" s="133"/>
      <c r="L221" s="133">
        <f t="shared" ref="L221:R221" si="75">L222+L233+L246</f>
        <v>7755.5</v>
      </c>
      <c r="M221" s="268">
        <f t="shared" si="75"/>
        <v>8382.5</v>
      </c>
      <c r="N221" s="248">
        <f t="shared" si="75"/>
        <v>17310.599000000002</v>
      </c>
      <c r="O221" s="180">
        <f t="shared" si="75"/>
        <v>8514.5999999999985</v>
      </c>
      <c r="P221" s="134">
        <f t="shared" si="75"/>
        <v>8600</v>
      </c>
      <c r="Q221" s="269">
        <f t="shared" si="75"/>
        <v>15553.339999999998</v>
      </c>
      <c r="R221" s="270">
        <f t="shared" si="75"/>
        <v>16146.57</v>
      </c>
    </row>
    <row r="222" spans="1:24" ht="26" x14ac:dyDescent="0.25">
      <c r="A222" s="229"/>
      <c r="B222" s="136" t="s">
        <v>302</v>
      </c>
      <c r="C222" s="110"/>
      <c r="D222" s="110" t="s">
        <v>211</v>
      </c>
      <c r="E222" s="110" t="s">
        <v>213</v>
      </c>
      <c r="F222" s="111" t="s">
        <v>303</v>
      </c>
      <c r="G222" s="111"/>
      <c r="H222" s="111"/>
      <c r="I222" s="110"/>
      <c r="J222" s="98">
        <f>J229</f>
        <v>272</v>
      </c>
      <c r="K222" s="98"/>
      <c r="L222" s="98">
        <f>L229</f>
        <v>172</v>
      </c>
      <c r="M222" s="278">
        <f>M229</f>
        <v>184</v>
      </c>
      <c r="N222" s="279">
        <f>N225</f>
        <v>348</v>
      </c>
      <c r="O222" s="280">
        <f>O225</f>
        <v>302</v>
      </c>
      <c r="P222" s="97">
        <f>P225</f>
        <v>337</v>
      </c>
      <c r="Q222" s="281">
        <f>Q225</f>
        <v>362</v>
      </c>
      <c r="R222" s="282">
        <f>R225</f>
        <v>377</v>
      </c>
    </row>
    <row r="223" spans="1:24" ht="75" hidden="1" customHeight="1" x14ac:dyDescent="0.25">
      <c r="A223" s="229"/>
      <c r="B223" s="112" t="s">
        <v>218</v>
      </c>
      <c r="C223" s="110"/>
      <c r="D223" s="110" t="s">
        <v>211</v>
      </c>
      <c r="E223" s="110" t="s">
        <v>213</v>
      </c>
      <c r="F223" s="111" t="s">
        <v>219</v>
      </c>
      <c r="G223" s="111"/>
      <c r="H223" s="111"/>
      <c r="I223" s="110"/>
      <c r="J223" s="98"/>
      <c r="K223" s="98"/>
      <c r="L223" s="98"/>
      <c r="M223" s="278"/>
      <c r="N223" s="279"/>
      <c r="O223" s="280"/>
      <c r="P223" s="97"/>
      <c r="Q223" s="281"/>
      <c r="R223" s="282"/>
    </row>
    <row r="224" spans="1:24" ht="25.15" hidden="1" customHeight="1" x14ac:dyDescent="0.25">
      <c r="A224" s="229"/>
      <c r="B224" s="262" t="s">
        <v>283</v>
      </c>
      <c r="C224" s="110"/>
      <c r="D224" s="110" t="s">
        <v>211</v>
      </c>
      <c r="E224" s="110" t="s">
        <v>213</v>
      </c>
      <c r="F224" s="111" t="s">
        <v>219</v>
      </c>
      <c r="G224" s="111" t="s">
        <v>65</v>
      </c>
      <c r="H224" s="111"/>
      <c r="I224" s="110"/>
      <c r="J224" s="98"/>
      <c r="K224" s="98"/>
      <c r="L224" s="98"/>
      <c r="M224" s="278"/>
      <c r="N224" s="279"/>
      <c r="O224" s="280"/>
      <c r="P224" s="97"/>
      <c r="Q224" s="281"/>
      <c r="R224" s="282"/>
    </row>
    <row r="225" spans="1:256" s="10" customFormat="1" ht="25.15" customHeight="1" x14ac:dyDescent="0.25">
      <c r="A225" s="229"/>
      <c r="B225" s="272" t="s">
        <v>304</v>
      </c>
      <c r="C225" s="110"/>
      <c r="D225" s="110"/>
      <c r="E225" s="110"/>
      <c r="F225" s="111" t="s">
        <v>305</v>
      </c>
      <c r="G225" s="111"/>
      <c r="H225" s="111"/>
      <c r="I225" s="110"/>
      <c r="J225" s="98">
        <f>J229</f>
        <v>272</v>
      </c>
      <c r="K225" s="98"/>
      <c r="L225" s="98"/>
      <c r="M225" s="278"/>
      <c r="N225" s="279">
        <f>N229+N226</f>
        <v>348</v>
      </c>
      <c r="O225" s="280">
        <f>O229</f>
        <v>302</v>
      </c>
      <c r="P225" s="97">
        <f>P229</f>
        <v>337</v>
      </c>
      <c r="Q225" s="283">
        <f t="shared" ref="Q225:R225" si="76">Q229+Q226</f>
        <v>362</v>
      </c>
      <c r="R225" s="283">
        <f t="shared" si="76"/>
        <v>377</v>
      </c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0" customFormat="1" ht="25.15" customHeight="1" x14ac:dyDescent="0.25">
      <c r="A226" s="229"/>
      <c r="B226" s="284" t="s">
        <v>306</v>
      </c>
      <c r="C226" s="110"/>
      <c r="D226" s="110"/>
      <c r="E226" s="110"/>
      <c r="F226" s="111" t="s">
        <v>307</v>
      </c>
      <c r="G226" s="111"/>
      <c r="H226" s="111"/>
      <c r="I226" s="110"/>
      <c r="J226" s="98"/>
      <c r="K226" s="98"/>
      <c r="L226" s="98"/>
      <c r="M226" s="278"/>
      <c r="N226" s="279">
        <f>N227</f>
        <v>98</v>
      </c>
      <c r="O226" s="280"/>
      <c r="P226" s="97"/>
      <c r="Q226" s="281">
        <f>Q227</f>
        <v>102</v>
      </c>
      <c r="R226" s="282">
        <f>R227</f>
        <v>107</v>
      </c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0" customFormat="1" ht="25.15" customHeight="1" x14ac:dyDescent="0.25">
      <c r="A227" s="229"/>
      <c r="B227" s="262" t="s">
        <v>283</v>
      </c>
      <c r="C227" s="110"/>
      <c r="D227" s="110"/>
      <c r="E227" s="110"/>
      <c r="F227" s="111" t="s">
        <v>307</v>
      </c>
      <c r="G227" s="111"/>
      <c r="H227" s="111"/>
      <c r="I227" s="110"/>
      <c r="J227" s="98"/>
      <c r="K227" s="98"/>
      <c r="L227" s="98"/>
      <c r="M227" s="278"/>
      <c r="N227" s="279">
        <f>N228</f>
        <v>98</v>
      </c>
      <c r="O227" s="280"/>
      <c r="P227" s="97"/>
      <c r="Q227" s="281">
        <f>Q228</f>
        <v>102</v>
      </c>
      <c r="R227" s="282">
        <f>R228</f>
        <v>107</v>
      </c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0" customFormat="1" ht="25.15" customHeight="1" x14ac:dyDescent="0.3">
      <c r="A228" s="229"/>
      <c r="B228" s="285" t="s">
        <v>308</v>
      </c>
      <c r="C228" s="110"/>
      <c r="D228" s="110"/>
      <c r="E228" s="110"/>
      <c r="F228" s="111" t="s">
        <v>307</v>
      </c>
      <c r="G228" s="111" t="s">
        <v>65</v>
      </c>
      <c r="H228" s="111" t="s">
        <v>309</v>
      </c>
      <c r="I228" s="111" t="s">
        <v>309</v>
      </c>
      <c r="J228" s="98"/>
      <c r="K228" s="98"/>
      <c r="L228" s="98"/>
      <c r="M228" s="278"/>
      <c r="N228" s="279">
        <v>98</v>
      </c>
      <c r="O228" s="280"/>
      <c r="P228" s="97"/>
      <c r="Q228" s="281">
        <v>102</v>
      </c>
      <c r="R228" s="282">
        <v>107</v>
      </c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0" customFormat="1" ht="26" x14ac:dyDescent="0.25">
      <c r="A229" s="229"/>
      <c r="B229" s="106" t="s">
        <v>310</v>
      </c>
      <c r="C229" s="110"/>
      <c r="D229" s="110" t="s">
        <v>211</v>
      </c>
      <c r="E229" s="110" t="s">
        <v>213</v>
      </c>
      <c r="F229" s="111" t="s">
        <v>311</v>
      </c>
      <c r="G229" s="111"/>
      <c r="H229" s="111"/>
      <c r="I229" s="110"/>
      <c r="J229" s="98">
        <f>J230</f>
        <v>272</v>
      </c>
      <c r="K229" s="98"/>
      <c r="L229" s="98">
        <f>L230</f>
        <v>172</v>
      </c>
      <c r="M229" s="278">
        <f>M230</f>
        <v>184</v>
      </c>
      <c r="N229" s="279">
        <f t="shared" ref="N229:R230" si="77">N230</f>
        <v>250</v>
      </c>
      <c r="O229" s="280">
        <f t="shared" si="77"/>
        <v>302</v>
      </c>
      <c r="P229" s="97">
        <f t="shared" si="77"/>
        <v>337</v>
      </c>
      <c r="Q229" s="281">
        <f t="shared" si="77"/>
        <v>260</v>
      </c>
      <c r="R229" s="282">
        <f t="shared" si="77"/>
        <v>270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10" customFormat="1" ht="25.15" customHeight="1" x14ac:dyDescent="0.25">
      <c r="A230" s="229"/>
      <c r="B230" s="262" t="s">
        <v>283</v>
      </c>
      <c r="C230" s="110"/>
      <c r="D230" s="110" t="s">
        <v>211</v>
      </c>
      <c r="E230" s="110" t="s">
        <v>213</v>
      </c>
      <c r="F230" s="111" t="s">
        <v>311</v>
      </c>
      <c r="G230" s="111" t="s">
        <v>65</v>
      </c>
      <c r="H230" s="111"/>
      <c r="I230" s="111"/>
      <c r="J230" s="98">
        <f>J231</f>
        <v>272</v>
      </c>
      <c r="K230" s="98"/>
      <c r="L230" s="98">
        <v>172</v>
      </c>
      <c r="M230" s="278">
        <v>184</v>
      </c>
      <c r="N230" s="279">
        <f t="shared" si="77"/>
        <v>250</v>
      </c>
      <c r="O230" s="280">
        <f t="shared" si="77"/>
        <v>302</v>
      </c>
      <c r="P230" s="97">
        <f t="shared" si="77"/>
        <v>337</v>
      </c>
      <c r="Q230" s="281">
        <f t="shared" si="77"/>
        <v>260</v>
      </c>
      <c r="R230" s="282">
        <f t="shared" si="77"/>
        <v>270</v>
      </c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10" customFormat="1" ht="16.899999999999999" customHeight="1" x14ac:dyDescent="0.3">
      <c r="A231" s="229"/>
      <c r="B231" s="285" t="s">
        <v>308</v>
      </c>
      <c r="C231" s="110"/>
      <c r="D231" s="110"/>
      <c r="E231" s="110"/>
      <c r="F231" s="111" t="s">
        <v>311</v>
      </c>
      <c r="G231" s="111" t="s">
        <v>65</v>
      </c>
      <c r="H231" s="111" t="s">
        <v>309</v>
      </c>
      <c r="I231" s="111" t="s">
        <v>309</v>
      </c>
      <c r="J231" s="98">
        <v>272</v>
      </c>
      <c r="K231" s="98"/>
      <c r="L231" s="98">
        <v>172</v>
      </c>
      <c r="M231" s="278">
        <v>184</v>
      </c>
      <c r="N231" s="279">
        <f>348-98</f>
        <v>250</v>
      </c>
      <c r="O231" s="280">
        <v>302</v>
      </c>
      <c r="P231" s="97">
        <v>337</v>
      </c>
      <c r="Q231" s="281">
        <f>362-102</f>
        <v>260</v>
      </c>
      <c r="R231" s="282">
        <f>377-107</f>
        <v>270</v>
      </c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10" customFormat="1" ht="48" hidden="1" customHeight="1" x14ac:dyDescent="0.25">
      <c r="A232" s="245"/>
      <c r="B232" s="100" t="s">
        <v>312</v>
      </c>
      <c r="C232" s="110"/>
      <c r="D232" s="110" t="s">
        <v>223</v>
      </c>
      <c r="E232" s="110" t="s">
        <v>225</v>
      </c>
      <c r="F232" s="110" t="s">
        <v>215</v>
      </c>
      <c r="G232" s="132"/>
      <c r="H232" s="132"/>
      <c r="I232" s="110"/>
      <c r="J232" s="133">
        <f>J233</f>
        <v>6205</v>
      </c>
      <c r="K232" s="133"/>
      <c r="L232" s="133">
        <f t="shared" ref="L232:R232" si="78">L233</f>
        <v>6305</v>
      </c>
      <c r="M232" s="268">
        <f t="shared" si="78"/>
        <v>6960</v>
      </c>
      <c r="N232" s="248">
        <f t="shared" si="78"/>
        <v>13218.895</v>
      </c>
      <c r="O232" s="180">
        <f t="shared" si="78"/>
        <v>6962.0999999999995</v>
      </c>
      <c r="P232" s="134">
        <f t="shared" si="78"/>
        <v>6915</v>
      </c>
      <c r="Q232" s="269">
        <f t="shared" si="78"/>
        <v>12173.939999999999</v>
      </c>
      <c r="R232" s="270">
        <f t="shared" si="78"/>
        <v>12431.57</v>
      </c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10" customFormat="1" ht="39" x14ac:dyDescent="0.25">
      <c r="A233" s="229"/>
      <c r="B233" s="136" t="s">
        <v>313</v>
      </c>
      <c r="C233" s="111"/>
      <c r="D233" s="111" t="s">
        <v>223</v>
      </c>
      <c r="E233" s="111" t="s">
        <v>225</v>
      </c>
      <c r="F233" s="111" t="s">
        <v>314</v>
      </c>
      <c r="G233" s="111"/>
      <c r="H233" s="111"/>
      <c r="I233" s="111"/>
      <c r="J233" s="94">
        <f>J235</f>
        <v>6205</v>
      </c>
      <c r="K233" s="94"/>
      <c r="L233" s="94">
        <f t="shared" ref="L233:P233" si="79">L235</f>
        <v>6305</v>
      </c>
      <c r="M233" s="286">
        <f t="shared" si="79"/>
        <v>6960</v>
      </c>
      <c r="N233" s="279">
        <f>N234</f>
        <v>13218.895</v>
      </c>
      <c r="O233" s="280">
        <f t="shared" si="79"/>
        <v>6962.0999999999995</v>
      </c>
      <c r="P233" s="97">
        <f t="shared" si="79"/>
        <v>6915</v>
      </c>
      <c r="Q233" s="281">
        <f>Q234</f>
        <v>12173.939999999999</v>
      </c>
      <c r="R233" s="282">
        <f>R234</f>
        <v>12431.57</v>
      </c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10" customFormat="1" ht="13" x14ac:dyDescent="0.25">
      <c r="A234" s="229"/>
      <c r="B234" s="272" t="s">
        <v>315</v>
      </c>
      <c r="C234" s="111"/>
      <c r="D234" s="111"/>
      <c r="E234" s="111"/>
      <c r="F234" s="111" t="s">
        <v>316</v>
      </c>
      <c r="G234" s="111"/>
      <c r="H234" s="111"/>
      <c r="I234" s="111"/>
      <c r="J234" s="94">
        <f>J235</f>
        <v>6205</v>
      </c>
      <c r="K234" s="94"/>
      <c r="L234" s="94"/>
      <c r="M234" s="286"/>
      <c r="N234" s="279">
        <f>N235+N243</f>
        <v>13218.895</v>
      </c>
      <c r="O234" s="280">
        <f>O235</f>
        <v>6962.0999999999995</v>
      </c>
      <c r="P234" s="97">
        <f>P235</f>
        <v>6915</v>
      </c>
      <c r="Q234" s="281">
        <f>Q235+Q243</f>
        <v>12173.939999999999</v>
      </c>
      <c r="R234" s="282">
        <f>R235+R243</f>
        <v>12431.57</v>
      </c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s="10" customFormat="1" ht="26" x14ac:dyDescent="0.25">
      <c r="A235" s="229"/>
      <c r="B235" s="106" t="s">
        <v>317</v>
      </c>
      <c r="C235" s="111"/>
      <c r="D235" s="111" t="s">
        <v>223</v>
      </c>
      <c r="E235" s="111" t="s">
        <v>225</v>
      </c>
      <c r="F235" s="111" t="s">
        <v>318</v>
      </c>
      <c r="G235" s="111"/>
      <c r="H235" s="111"/>
      <c r="I235" s="111"/>
      <c r="J235" s="94">
        <f>J236+J238+J240</f>
        <v>6205</v>
      </c>
      <c r="K235" s="94"/>
      <c r="L235" s="94">
        <f t="shared" ref="L235:R235" si="80">L236+L238+L240</f>
        <v>6305</v>
      </c>
      <c r="M235" s="286">
        <f t="shared" si="80"/>
        <v>6960</v>
      </c>
      <c r="N235" s="287">
        <f t="shared" si="80"/>
        <v>10552.695</v>
      </c>
      <c r="O235" s="288">
        <f t="shared" si="80"/>
        <v>6962.0999999999995</v>
      </c>
      <c r="P235" s="289">
        <f t="shared" si="80"/>
        <v>6915</v>
      </c>
      <c r="Q235" s="290">
        <f t="shared" si="80"/>
        <v>9507.74</v>
      </c>
      <c r="R235" s="291">
        <f t="shared" si="80"/>
        <v>9765.3700000000008</v>
      </c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s="10" customFormat="1" ht="13" x14ac:dyDescent="0.3">
      <c r="A236" s="229"/>
      <c r="B236" s="118" t="s">
        <v>230</v>
      </c>
      <c r="C236" s="111"/>
      <c r="D236" s="111" t="s">
        <v>223</v>
      </c>
      <c r="E236" s="111" t="s">
        <v>225</v>
      </c>
      <c r="F236" s="111" t="s">
        <v>318</v>
      </c>
      <c r="G236" s="111" t="s">
        <v>231</v>
      </c>
      <c r="H236" s="111"/>
      <c r="I236" s="111"/>
      <c r="J236" s="94">
        <f>J237</f>
        <v>4156.915</v>
      </c>
      <c r="K236" s="204"/>
      <c r="L236" s="94">
        <v>5305.1139999999996</v>
      </c>
      <c r="M236" s="286">
        <v>6631.482</v>
      </c>
      <c r="N236" s="279">
        <f>N237</f>
        <v>7793.6940000000004</v>
      </c>
      <c r="O236" s="280">
        <f>O237</f>
        <v>4886.9669999999996</v>
      </c>
      <c r="P236" s="97">
        <f>P237</f>
        <v>5375.0079999999998</v>
      </c>
      <c r="Q236" s="281">
        <f>Q237</f>
        <v>7375.74</v>
      </c>
      <c r="R236" s="282">
        <f>R237</f>
        <v>7670.77</v>
      </c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s="10" customFormat="1" ht="13" x14ac:dyDescent="0.3">
      <c r="A237" s="229"/>
      <c r="B237" s="118" t="s">
        <v>224</v>
      </c>
      <c r="C237" s="111"/>
      <c r="D237" s="111"/>
      <c r="E237" s="111"/>
      <c r="F237" s="111" t="s">
        <v>318</v>
      </c>
      <c r="G237" s="111" t="s">
        <v>231</v>
      </c>
      <c r="H237" s="111" t="s">
        <v>319</v>
      </c>
      <c r="I237" s="111" t="s">
        <v>320</v>
      </c>
      <c r="J237" s="94">
        <v>4156.915</v>
      </c>
      <c r="K237" s="204"/>
      <c r="L237" s="94"/>
      <c r="M237" s="286"/>
      <c r="N237" s="279">
        <f>7092.058+391.636+310</f>
        <v>7793.6940000000004</v>
      </c>
      <c r="O237" s="280">
        <v>4886.9669999999996</v>
      </c>
      <c r="P237" s="97">
        <v>5375.0079999999998</v>
      </c>
      <c r="Q237" s="281">
        <v>7375.74</v>
      </c>
      <c r="R237" s="282">
        <v>7670.77</v>
      </c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s="10" customFormat="1" ht="25.15" customHeight="1" x14ac:dyDescent="0.25">
      <c r="A238" s="229"/>
      <c r="B238" s="262" t="s">
        <v>283</v>
      </c>
      <c r="C238" s="111"/>
      <c r="D238" s="111" t="s">
        <v>223</v>
      </c>
      <c r="E238" s="111" t="s">
        <v>225</v>
      </c>
      <c r="F238" s="111" t="s">
        <v>318</v>
      </c>
      <c r="G238" s="111" t="s">
        <v>65</v>
      </c>
      <c r="H238" s="111"/>
      <c r="I238" s="111"/>
      <c r="J238" s="94">
        <f>J239</f>
        <v>2047.085</v>
      </c>
      <c r="K238" s="94"/>
      <c r="L238" s="94">
        <f>999.886-0.886</f>
        <v>999</v>
      </c>
      <c r="M238" s="286">
        <v>328</v>
      </c>
      <c r="N238" s="279">
        <f>N239</f>
        <v>2749.0010000000002</v>
      </c>
      <c r="O238" s="280">
        <f>O239</f>
        <v>2074.1329999999998</v>
      </c>
      <c r="P238" s="97">
        <f>P239</f>
        <v>1538.992</v>
      </c>
      <c r="Q238" s="281">
        <f>Q239</f>
        <v>2122</v>
      </c>
      <c r="R238" s="282">
        <f>R239</f>
        <v>2084.6</v>
      </c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s="10" customFormat="1" ht="13" x14ac:dyDescent="0.3">
      <c r="A239" s="229"/>
      <c r="B239" s="118" t="s">
        <v>224</v>
      </c>
      <c r="C239" s="111"/>
      <c r="D239" s="111"/>
      <c r="E239" s="111"/>
      <c r="F239" s="111" t="s">
        <v>318</v>
      </c>
      <c r="G239" s="111" t="s">
        <v>65</v>
      </c>
      <c r="H239" s="111" t="s">
        <v>319</v>
      </c>
      <c r="I239" s="111" t="s">
        <v>320</v>
      </c>
      <c r="J239" s="94">
        <v>2047.085</v>
      </c>
      <c r="K239" s="94"/>
      <c r="L239" s="94"/>
      <c r="M239" s="286"/>
      <c r="N239" s="279">
        <f>2809.001+70-130</f>
        <v>2749.0010000000002</v>
      </c>
      <c r="O239" s="280">
        <v>2074.1329999999998</v>
      </c>
      <c r="P239" s="97">
        <v>1538.992</v>
      </c>
      <c r="Q239" s="281">
        <v>2122</v>
      </c>
      <c r="R239" s="282">
        <v>2084.6</v>
      </c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s="10" customFormat="1" ht="13" x14ac:dyDescent="0.3">
      <c r="A240" s="229"/>
      <c r="B240" s="118" t="s">
        <v>88</v>
      </c>
      <c r="C240" s="111"/>
      <c r="D240" s="111" t="s">
        <v>223</v>
      </c>
      <c r="E240" s="111" t="s">
        <v>225</v>
      </c>
      <c r="F240" s="111" t="s">
        <v>318</v>
      </c>
      <c r="G240" s="111" t="s">
        <v>89</v>
      </c>
      <c r="H240" s="111"/>
      <c r="I240" s="111"/>
      <c r="J240" s="98">
        <f>J241</f>
        <v>1</v>
      </c>
      <c r="K240" s="98"/>
      <c r="L240" s="98">
        <v>0.88600000000000001</v>
      </c>
      <c r="M240" s="278">
        <v>0.51800000000000002</v>
      </c>
      <c r="N240" s="279">
        <f>N241</f>
        <v>10</v>
      </c>
      <c r="O240" s="280">
        <f>O241</f>
        <v>1</v>
      </c>
      <c r="P240" s="97">
        <f>P241</f>
        <v>1</v>
      </c>
      <c r="Q240" s="281">
        <f>Q241</f>
        <v>10</v>
      </c>
      <c r="R240" s="282">
        <f>R241</f>
        <v>10</v>
      </c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s="10" customFormat="1" ht="13" x14ac:dyDescent="0.3">
      <c r="A241" s="229"/>
      <c r="B241" s="118" t="s">
        <v>224</v>
      </c>
      <c r="C241" s="111"/>
      <c r="D241" s="111"/>
      <c r="E241" s="111"/>
      <c r="F241" s="111" t="s">
        <v>318</v>
      </c>
      <c r="G241" s="111" t="s">
        <v>89</v>
      </c>
      <c r="H241" s="111" t="s">
        <v>319</v>
      </c>
      <c r="I241" s="111" t="s">
        <v>320</v>
      </c>
      <c r="J241" s="98">
        <v>1</v>
      </c>
      <c r="K241" s="98"/>
      <c r="L241" s="98">
        <f>L236+L238+L240</f>
        <v>6305</v>
      </c>
      <c r="M241" s="278">
        <f>M236+M238+M240</f>
        <v>6960</v>
      </c>
      <c r="N241" s="279">
        <v>10</v>
      </c>
      <c r="O241" s="280">
        <v>1</v>
      </c>
      <c r="P241" s="97">
        <v>1</v>
      </c>
      <c r="Q241" s="281">
        <v>10</v>
      </c>
      <c r="R241" s="282">
        <v>10</v>
      </c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s="10" customFormat="1" ht="39.65" hidden="1" customHeight="1" x14ac:dyDescent="0.25">
      <c r="A242" s="245"/>
      <c r="B242" s="100" t="s">
        <v>312</v>
      </c>
      <c r="C242" s="110"/>
      <c r="D242" s="110" t="s">
        <v>223</v>
      </c>
      <c r="E242" s="110" t="s">
        <v>233</v>
      </c>
      <c r="F242" s="111" t="s">
        <v>215</v>
      </c>
      <c r="G242" s="132"/>
      <c r="H242" s="132"/>
      <c r="I242" s="110"/>
      <c r="J242" s="133">
        <f>J246</f>
        <v>1278.5</v>
      </c>
      <c r="K242" s="133"/>
      <c r="L242" s="133">
        <f t="shared" ref="L242:R242" si="81">L246</f>
        <v>1278.5</v>
      </c>
      <c r="M242" s="268">
        <f t="shared" si="81"/>
        <v>1238.5</v>
      </c>
      <c r="N242" s="248">
        <f t="shared" si="81"/>
        <v>3743.7040000000002</v>
      </c>
      <c r="O242" s="180">
        <f t="shared" si="81"/>
        <v>1250.5</v>
      </c>
      <c r="P242" s="134">
        <f t="shared" si="81"/>
        <v>1348</v>
      </c>
      <c r="Q242" s="269">
        <f t="shared" si="81"/>
        <v>3017.4</v>
      </c>
      <c r="R242" s="270">
        <f t="shared" si="81"/>
        <v>3338</v>
      </c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s="10" customFormat="1" ht="26.5" customHeight="1" x14ac:dyDescent="0.3">
      <c r="A243" s="245"/>
      <c r="B243" s="292" t="s">
        <v>321</v>
      </c>
      <c r="C243" s="293"/>
      <c r="D243" s="208"/>
      <c r="E243" s="208"/>
      <c r="F243" s="111" t="s">
        <v>322</v>
      </c>
      <c r="G243" s="111"/>
      <c r="H243" s="111"/>
      <c r="I243" s="111"/>
      <c r="J243" s="294"/>
      <c r="K243" s="192"/>
      <c r="L243" s="190"/>
      <c r="M243" s="295"/>
      <c r="N243" s="253">
        <f>N244</f>
        <v>2666.2</v>
      </c>
      <c r="O243" s="142"/>
      <c r="P243" s="142"/>
      <c r="Q243" s="296">
        <f>Q244</f>
        <v>2666.2</v>
      </c>
      <c r="R243" s="255">
        <f>R244</f>
        <v>2666.2</v>
      </c>
      <c r="S243" s="10">
        <v>712.6</v>
      </c>
      <c r="T243" s="10">
        <v>712.6</v>
      </c>
      <c r="U243" s="10">
        <v>712.6</v>
      </c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s="10" customFormat="1" ht="17.149999999999999" customHeight="1" x14ac:dyDescent="0.3">
      <c r="A244" s="245"/>
      <c r="B244" s="297" t="s">
        <v>230</v>
      </c>
      <c r="C244" s="293"/>
      <c r="D244" s="208"/>
      <c r="E244" s="208"/>
      <c r="F244" s="111" t="s">
        <v>322</v>
      </c>
      <c r="G244" s="111" t="s">
        <v>231</v>
      </c>
      <c r="H244" s="111"/>
      <c r="I244" s="111"/>
      <c r="J244" s="294"/>
      <c r="K244" s="192"/>
      <c r="L244" s="190"/>
      <c r="M244" s="295"/>
      <c r="N244" s="253">
        <f>N245</f>
        <v>2666.2</v>
      </c>
      <c r="O244" s="142"/>
      <c r="P244" s="142"/>
      <c r="Q244" s="296">
        <f>Q245</f>
        <v>2666.2</v>
      </c>
      <c r="R244" s="255">
        <f>R245</f>
        <v>2666.2</v>
      </c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s="10" customFormat="1" ht="18" customHeight="1" x14ac:dyDescent="0.3">
      <c r="A245" s="245"/>
      <c r="B245" s="298" t="s">
        <v>224</v>
      </c>
      <c r="C245" s="293"/>
      <c r="D245" s="208"/>
      <c r="E245" s="208"/>
      <c r="F245" s="111" t="s">
        <v>323</v>
      </c>
      <c r="G245" s="111" t="s">
        <v>231</v>
      </c>
      <c r="H245" s="111" t="s">
        <v>319</v>
      </c>
      <c r="I245" s="111" t="s">
        <v>320</v>
      </c>
      <c r="J245" s="294"/>
      <c r="K245" s="192"/>
      <c r="L245" s="190"/>
      <c r="M245" s="295"/>
      <c r="N245" s="253">
        <v>2666.2</v>
      </c>
      <c r="O245" s="142"/>
      <c r="P245" s="142"/>
      <c r="Q245" s="296">
        <v>2666.2</v>
      </c>
      <c r="R245" s="255">
        <v>2666.2</v>
      </c>
      <c r="S245" s="299">
        <v>2666.2</v>
      </c>
      <c r="T245" s="299">
        <v>2666.2</v>
      </c>
      <c r="U245" s="299">
        <v>2666.2</v>
      </c>
      <c r="V245" s="300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s="10" customFormat="1" ht="26" x14ac:dyDescent="0.25">
      <c r="A246" s="229"/>
      <c r="B246" s="136" t="s">
        <v>324</v>
      </c>
      <c r="C246" s="111"/>
      <c r="D246" s="111" t="s">
        <v>223</v>
      </c>
      <c r="E246" s="111" t="s">
        <v>233</v>
      </c>
      <c r="F246" s="111" t="s">
        <v>325</v>
      </c>
      <c r="G246" s="111"/>
      <c r="H246" s="111"/>
      <c r="I246" s="111"/>
      <c r="J246" s="94">
        <f>J248</f>
        <v>1278.5</v>
      </c>
      <c r="K246" s="94"/>
      <c r="L246" s="94">
        <f t="shared" ref="L246:R246" si="82">L248</f>
        <v>1278.5</v>
      </c>
      <c r="M246" s="286">
        <f t="shared" si="82"/>
        <v>1238.5</v>
      </c>
      <c r="N246" s="279">
        <f t="shared" si="82"/>
        <v>3743.7040000000002</v>
      </c>
      <c r="O246" s="280">
        <f t="shared" si="82"/>
        <v>1250.5</v>
      </c>
      <c r="P246" s="97">
        <f t="shared" si="82"/>
        <v>1348</v>
      </c>
      <c r="Q246" s="281">
        <f t="shared" si="82"/>
        <v>3017.4</v>
      </c>
      <c r="R246" s="282">
        <f t="shared" si="82"/>
        <v>3338</v>
      </c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3" x14ac:dyDescent="0.25">
      <c r="A247" s="229"/>
      <c r="B247" s="272" t="s">
        <v>326</v>
      </c>
      <c r="C247" s="111"/>
      <c r="D247" s="111"/>
      <c r="E247" s="111"/>
      <c r="F247" s="111" t="s">
        <v>327</v>
      </c>
      <c r="G247" s="111"/>
      <c r="H247" s="111"/>
      <c r="I247" s="111"/>
      <c r="J247" s="94">
        <f>J248</f>
        <v>1278.5</v>
      </c>
      <c r="K247" s="94"/>
      <c r="L247" s="94"/>
      <c r="M247" s="286"/>
      <c r="N247" s="279">
        <f t="shared" ref="N247:R248" si="83">N248</f>
        <v>3743.7040000000002</v>
      </c>
      <c r="O247" s="280">
        <f t="shared" si="83"/>
        <v>1250.5</v>
      </c>
      <c r="P247" s="97">
        <f t="shared" si="83"/>
        <v>1348</v>
      </c>
      <c r="Q247" s="281">
        <f t="shared" si="83"/>
        <v>3017.4</v>
      </c>
      <c r="R247" s="282">
        <f t="shared" si="83"/>
        <v>3338</v>
      </c>
    </row>
    <row r="248" spans="1:256" ht="13" x14ac:dyDescent="0.25">
      <c r="A248" s="229"/>
      <c r="B248" s="106" t="s">
        <v>328</v>
      </c>
      <c r="C248" s="111"/>
      <c r="D248" s="111" t="s">
        <v>223</v>
      </c>
      <c r="E248" s="111" t="s">
        <v>233</v>
      </c>
      <c r="F248" s="111" t="s">
        <v>329</v>
      </c>
      <c r="G248" s="111"/>
      <c r="H248" s="111"/>
      <c r="I248" s="111"/>
      <c r="J248" s="94">
        <f>J249</f>
        <v>1278.5</v>
      </c>
      <c r="K248" s="94"/>
      <c r="L248" s="94">
        <f t="shared" ref="L248:M248" si="84">L249</f>
        <v>1278.5</v>
      </c>
      <c r="M248" s="286">
        <f t="shared" si="84"/>
        <v>1238.5</v>
      </c>
      <c r="N248" s="279">
        <f t="shared" si="83"/>
        <v>3743.7040000000002</v>
      </c>
      <c r="O248" s="280">
        <f t="shared" si="83"/>
        <v>1250.5</v>
      </c>
      <c r="P248" s="97">
        <f t="shared" si="83"/>
        <v>1348</v>
      </c>
      <c r="Q248" s="281">
        <f t="shared" si="83"/>
        <v>3017.4</v>
      </c>
      <c r="R248" s="282">
        <f t="shared" si="83"/>
        <v>3338</v>
      </c>
    </row>
    <row r="249" spans="1:256" ht="25.15" customHeight="1" x14ac:dyDescent="0.25">
      <c r="A249" s="229"/>
      <c r="B249" s="262" t="s">
        <v>283</v>
      </c>
      <c r="C249" s="111"/>
      <c r="D249" s="111" t="s">
        <v>223</v>
      </c>
      <c r="E249" s="111" t="s">
        <v>233</v>
      </c>
      <c r="F249" s="111" t="s">
        <v>329</v>
      </c>
      <c r="G249" s="111" t="s">
        <v>65</v>
      </c>
      <c r="H249" s="111"/>
      <c r="I249" s="111"/>
      <c r="J249" s="94">
        <f>J251</f>
        <v>1278.5</v>
      </c>
      <c r="K249" s="94"/>
      <c r="L249" s="94">
        <v>1278.5</v>
      </c>
      <c r="M249" s="286">
        <v>1238.5</v>
      </c>
      <c r="N249" s="279">
        <f>N251</f>
        <v>3743.7040000000002</v>
      </c>
      <c r="O249" s="280">
        <f>O251</f>
        <v>1250.5</v>
      </c>
      <c r="P249" s="97">
        <f>P251</f>
        <v>1348</v>
      </c>
      <c r="Q249" s="281">
        <f>Q251</f>
        <v>3017.4</v>
      </c>
      <c r="R249" s="282">
        <f>R251</f>
        <v>3338</v>
      </c>
    </row>
    <row r="250" spans="1:256" s="207" customFormat="1" ht="52" hidden="1" x14ac:dyDescent="0.3">
      <c r="A250" s="301"/>
      <c r="B250" s="205" t="s">
        <v>238</v>
      </c>
      <c r="C250" s="89"/>
      <c r="D250" s="89" t="s">
        <v>223</v>
      </c>
      <c r="E250" s="111" t="s">
        <v>233</v>
      </c>
      <c r="F250" s="89" t="s">
        <v>239</v>
      </c>
      <c r="G250" s="138"/>
      <c r="H250" s="138"/>
      <c r="I250" s="111"/>
      <c r="J250" s="98"/>
      <c r="K250" s="98"/>
      <c r="L250" s="98"/>
      <c r="M250" s="278"/>
      <c r="N250" s="279"/>
      <c r="O250" s="280"/>
      <c r="P250" s="97"/>
      <c r="Q250" s="281"/>
      <c r="R250" s="282"/>
      <c r="S250" s="206"/>
      <c r="T250" s="206"/>
      <c r="U250" s="206"/>
      <c r="V250" s="206"/>
      <c r="W250" s="206"/>
      <c r="X250" s="206"/>
    </row>
    <row r="251" spans="1:256" s="207" customFormat="1" ht="15" x14ac:dyDescent="0.3">
      <c r="A251" s="301"/>
      <c r="B251" s="205" t="s">
        <v>232</v>
      </c>
      <c r="C251" s="89"/>
      <c r="D251" s="89"/>
      <c r="E251" s="111"/>
      <c r="F251" s="111" t="s">
        <v>329</v>
      </c>
      <c r="G251" s="111" t="s">
        <v>65</v>
      </c>
      <c r="H251" s="111" t="s">
        <v>319</v>
      </c>
      <c r="I251" s="111" t="s">
        <v>298</v>
      </c>
      <c r="J251" s="94">
        <v>1278.5</v>
      </c>
      <c r="K251" s="94"/>
      <c r="L251" s="94">
        <v>1278.5</v>
      </c>
      <c r="M251" s="286">
        <v>1238.5</v>
      </c>
      <c r="N251" s="279">
        <f>3033.704+500+80+130</f>
        <v>3743.7040000000002</v>
      </c>
      <c r="O251" s="280">
        <v>1250.5</v>
      </c>
      <c r="P251" s="97">
        <v>1348</v>
      </c>
      <c r="Q251" s="281">
        <v>3017.4</v>
      </c>
      <c r="R251" s="282">
        <v>3338</v>
      </c>
      <c r="S251" s="206"/>
      <c r="T251" s="206"/>
      <c r="U251" s="206"/>
      <c r="V251" s="206"/>
      <c r="W251" s="206"/>
      <c r="X251" s="206"/>
    </row>
    <row r="252" spans="1:256" ht="39.65" customHeight="1" x14ac:dyDescent="0.25">
      <c r="A252" s="245">
        <v>4</v>
      </c>
      <c r="B252" s="100" t="s">
        <v>330</v>
      </c>
      <c r="C252" s="110"/>
      <c r="D252" s="110" t="s">
        <v>97</v>
      </c>
      <c r="E252" s="110" t="s">
        <v>99</v>
      </c>
      <c r="F252" s="110" t="s">
        <v>331</v>
      </c>
      <c r="G252" s="132"/>
      <c r="H252" s="132"/>
      <c r="I252" s="110"/>
      <c r="J252" s="133">
        <f>J253+J266</f>
        <v>1182</v>
      </c>
      <c r="K252" s="133"/>
      <c r="L252" s="133">
        <f t="shared" ref="L252:R252" si="85">L253+L266</f>
        <v>1182</v>
      </c>
      <c r="M252" s="268">
        <f t="shared" si="85"/>
        <v>1022</v>
      </c>
      <c r="N252" s="248">
        <f t="shared" si="85"/>
        <v>746.423</v>
      </c>
      <c r="O252" s="180">
        <f t="shared" si="85"/>
        <v>1202</v>
      </c>
      <c r="P252" s="134">
        <f t="shared" si="85"/>
        <v>676</v>
      </c>
      <c r="Q252" s="269">
        <f t="shared" si="85"/>
        <v>1202</v>
      </c>
      <c r="R252" s="270">
        <f t="shared" si="85"/>
        <v>1250.04</v>
      </c>
    </row>
    <row r="253" spans="1:256" ht="65" x14ac:dyDescent="0.25">
      <c r="A253" s="229"/>
      <c r="B253" s="136" t="s">
        <v>332</v>
      </c>
      <c r="C253" s="111"/>
      <c r="D253" s="111" t="s">
        <v>97</v>
      </c>
      <c r="E253" s="111" t="s">
        <v>99</v>
      </c>
      <c r="F253" s="111" t="s">
        <v>333</v>
      </c>
      <c r="G253" s="101"/>
      <c r="H253" s="101"/>
      <c r="I253" s="111"/>
      <c r="J253" s="99">
        <f>J254</f>
        <v>496</v>
      </c>
      <c r="K253" s="99"/>
      <c r="L253" s="99">
        <f>L255+L263</f>
        <v>496</v>
      </c>
      <c r="M253" s="263">
        <f>M255+M263</f>
        <v>336</v>
      </c>
      <c r="N253" s="253">
        <f>N258+N262</f>
        <v>572.423</v>
      </c>
      <c r="O253" s="142">
        <f>O254+O258</f>
        <v>506</v>
      </c>
      <c r="P253" s="109">
        <f>P254+P258</f>
        <v>646</v>
      </c>
      <c r="Q253" s="254">
        <f>Q258+Q262</f>
        <v>606</v>
      </c>
      <c r="R253" s="255">
        <f>R258+R262</f>
        <v>630.20000000000005</v>
      </c>
    </row>
    <row r="254" spans="1:256" ht="39" hidden="1" x14ac:dyDescent="0.25">
      <c r="A254" s="229"/>
      <c r="B254" s="272" t="s">
        <v>334</v>
      </c>
      <c r="C254" s="111"/>
      <c r="D254" s="111"/>
      <c r="E254" s="111"/>
      <c r="F254" s="111" t="s">
        <v>335</v>
      </c>
      <c r="G254" s="101"/>
      <c r="H254" s="101"/>
      <c r="I254" s="111"/>
      <c r="J254" s="99">
        <f>J255+J263</f>
        <v>496</v>
      </c>
      <c r="K254" s="99"/>
      <c r="L254" s="99"/>
      <c r="M254" s="263"/>
      <c r="N254" s="253">
        <f t="shared" ref="N254:R256" si="86">N255</f>
        <v>0</v>
      </c>
      <c r="O254" s="142">
        <f t="shared" si="86"/>
        <v>0</v>
      </c>
      <c r="P254" s="109">
        <f t="shared" si="86"/>
        <v>0</v>
      </c>
      <c r="Q254" s="254">
        <f t="shared" si="86"/>
        <v>0</v>
      </c>
      <c r="R254" s="255">
        <f t="shared" si="86"/>
        <v>0</v>
      </c>
    </row>
    <row r="255" spans="1:256" ht="26" hidden="1" x14ac:dyDescent="0.25">
      <c r="A255" s="229"/>
      <c r="B255" s="106" t="s">
        <v>336</v>
      </c>
      <c r="C255" s="111"/>
      <c r="D255" s="111" t="s">
        <v>97</v>
      </c>
      <c r="E255" s="111" t="s">
        <v>99</v>
      </c>
      <c r="F255" s="111" t="s">
        <v>337</v>
      </c>
      <c r="G255" s="101"/>
      <c r="H255" s="101"/>
      <c r="I255" s="111"/>
      <c r="J255" s="99">
        <f>J256</f>
        <v>296</v>
      </c>
      <c r="K255" s="99"/>
      <c r="L255" s="99">
        <f>L256</f>
        <v>296</v>
      </c>
      <c r="M255" s="263">
        <f>M256</f>
        <v>136</v>
      </c>
      <c r="N255" s="253">
        <f t="shared" si="86"/>
        <v>0</v>
      </c>
      <c r="O255" s="142">
        <f t="shared" si="86"/>
        <v>0</v>
      </c>
      <c r="P255" s="109">
        <f t="shared" si="86"/>
        <v>0</v>
      </c>
      <c r="Q255" s="254">
        <f t="shared" si="86"/>
        <v>0</v>
      </c>
      <c r="R255" s="255">
        <f t="shared" si="86"/>
        <v>0</v>
      </c>
    </row>
    <row r="256" spans="1:256" ht="25.15" hidden="1" customHeight="1" x14ac:dyDescent="0.25">
      <c r="A256" s="229"/>
      <c r="B256" s="262" t="s">
        <v>283</v>
      </c>
      <c r="C256" s="111"/>
      <c r="D256" s="111" t="s">
        <v>97</v>
      </c>
      <c r="E256" s="111" t="s">
        <v>99</v>
      </c>
      <c r="F256" s="111" t="s">
        <v>337</v>
      </c>
      <c r="G256" s="101">
        <v>240</v>
      </c>
      <c r="H256" s="101"/>
      <c r="I256" s="111"/>
      <c r="J256" s="99">
        <f>J257</f>
        <v>296</v>
      </c>
      <c r="K256" s="99"/>
      <c r="L256" s="99">
        <v>296</v>
      </c>
      <c r="M256" s="263">
        <v>136</v>
      </c>
      <c r="N256" s="253">
        <f t="shared" si="86"/>
        <v>0</v>
      </c>
      <c r="O256" s="142">
        <f t="shared" si="86"/>
        <v>0</v>
      </c>
      <c r="P256" s="109">
        <f t="shared" si="86"/>
        <v>0</v>
      </c>
      <c r="Q256" s="254">
        <f t="shared" si="86"/>
        <v>0</v>
      </c>
      <c r="R256" s="255">
        <f t="shared" si="86"/>
        <v>0</v>
      </c>
    </row>
    <row r="257" spans="1:24" ht="26" hidden="1" x14ac:dyDescent="0.3">
      <c r="A257" s="229"/>
      <c r="B257" s="302" t="s">
        <v>98</v>
      </c>
      <c r="C257" s="111"/>
      <c r="D257" s="111"/>
      <c r="E257" s="111"/>
      <c r="F257" s="111" t="s">
        <v>337</v>
      </c>
      <c r="G257" s="101">
        <v>240</v>
      </c>
      <c r="H257" s="101">
        <v>3</v>
      </c>
      <c r="I257" s="111" t="s">
        <v>338</v>
      </c>
      <c r="J257" s="99">
        <v>296</v>
      </c>
      <c r="K257" s="99"/>
      <c r="L257" s="99">
        <v>296</v>
      </c>
      <c r="M257" s="263">
        <v>136</v>
      </c>
      <c r="N257" s="253"/>
      <c r="O257" s="142"/>
      <c r="P257" s="109"/>
      <c r="Q257" s="254"/>
      <c r="R257" s="255"/>
    </row>
    <row r="258" spans="1:24" ht="39" x14ac:dyDescent="0.25">
      <c r="A258" s="229"/>
      <c r="B258" s="272" t="s">
        <v>334</v>
      </c>
      <c r="C258" s="111"/>
      <c r="D258" s="111"/>
      <c r="E258" s="111"/>
      <c r="F258" s="111" t="s">
        <v>335</v>
      </c>
      <c r="G258" s="101"/>
      <c r="H258" s="101"/>
      <c r="I258" s="111"/>
      <c r="J258" s="99">
        <f>J263</f>
        <v>200</v>
      </c>
      <c r="K258" s="99"/>
      <c r="L258" s="99"/>
      <c r="M258" s="263"/>
      <c r="N258" s="253">
        <f>N259</f>
        <v>42.460000000000008</v>
      </c>
      <c r="O258" s="142">
        <f>O263+O259</f>
        <v>506</v>
      </c>
      <c r="P258" s="109">
        <f>P263+P259</f>
        <v>646</v>
      </c>
      <c r="Q258" s="254">
        <f>Q259</f>
        <v>376</v>
      </c>
      <c r="R258" s="255">
        <f>R259</f>
        <v>391</v>
      </c>
    </row>
    <row r="259" spans="1:24" ht="26" x14ac:dyDescent="0.25">
      <c r="A259" s="229"/>
      <c r="B259" s="303" t="s">
        <v>339</v>
      </c>
      <c r="C259" s="111"/>
      <c r="D259" s="111"/>
      <c r="E259" s="111"/>
      <c r="F259" s="111" t="s">
        <v>337</v>
      </c>
      <c r="G259" s="101"/>
      <c r="H259" s="101"/>
      <c r="I259" s="111"/>
      <c r="J259" s="99"/>
      <c r="K259" s="99"/>
      <c r="L259" s="99"/>
      <c r="M259" s="263"/>
      <c r="N259" s="253">
        <f t="shared" ref="N259:R260" si="87">N260</f>
        <v>42.460000000000008</v>
      </c>
      <c r="O259" s="142">
        <f t="shared" si="87"/>
        <v>320</v>
      </c>
      <c r="P259" s="109">
        <f t="shared" si="87"/>
        <v>340</v>
      </c>
      <c r="Q259" s="254">
        <f t="shared" si="87"/>
        <v>376</v>
      </c>
      <c r="R259" s="255">
        <f t="shared" si="87"/>
        <v>391</v>
      </c>
    </row>
    <row r="260" spans="1:24" ht="26" x14ac:dyDescent="0.25">
      <c r="A260" s="229"/>
      <c r="B260" s="262" t="s">
        <v>283</v>
      </c>
      <c r="C260" s="111"/>
      <c r="D260" s="111"/>
      <c r="E260" s="111"/>
      <c r="F260" s="111" t="s">
        <v>337</v>
      </c>
      <c r="G260" s="101">
        <v>240</v>
      </c>
      <c r="H260" s="101"/>
      <c r="I260" s="111"/>
      <c r="J260" s="99"/>
      <c r="K260" s="99"/>
      <c r="L260" s="99"/>
      <c r="M260" s="263"/>
      <c r="N260" s="253">
        <f t="shared" si="87"/>
        <v>42.460000000000008</v>
      </c>
      <c r="O260" s="142">
        <f t="shared" si="87"/>
        <v>320</v>
      </c>
      <c r="P260" s="109">
        <f t="shared" si="87"/>
        <v>340</v>
      </c>
      <c r="Q260" s="254">
        <f t="shared" si="87"/>
        <v>376</v>
      </c>
      <c r="R260" s="255">
        <f t="shared" si="87"/>
        <v>391</v>
      </c>
    </row>
    <row r="261" spans="1:24" ht="26" x14ac:dyDescent="0.3">
      <c r="A261" s="229"/>
      <c r="B261" s="304" t="s">
        <v>98</v>
      </c>
      <c r="C261" s="111"/>
      <c r="D261" s="111"/>
      <c r="E261" s="111"/>
      <c r="F261" s="111" t="s">
        <v>337</v>
      </c>
      <c r="G261" s="101">
        <v>240</v>
      </c>
      <c r="H261" s="111" t="s">
        <v>340</v>
      </c>
      <c r="I261" s="111" t="s">
        <v>338</v>
      </c>
      <c r="J261" s="99"/>
      <c r="K261" s="99"/>
      <c r="L261" s="99"/>
      <c r="M261" s="263"/>
      <c r="N261" s="253">
        <f>133.32-1.283-50-39.577</f>
        <v>42.460000000000008</v>
      </c>
      <c r="O261" s="142">
        <v>320</v>
      </c>
      <c r="P261" s="109">
        <v>340</v>
      </c>
      <c r="Q261" s="254">
        <v>376</v>
      </c>
      <c r="R261" s="255">
        <v>391</v>
      </c>
    </row>
    <row r="262" spans="1:24" ht="13" x14ac:dyDescent="0.25">
      <c r="A262" s="229"/>
      <c r="B262" s="272" t="s">
        <v>341</v>
      </c>
      <c r="C262" s="111"/>
      <c r="D262" s="111"/>
      <c r="E262" s="111"/>
      <c r="F262" s="111" t="s">
        <v>342</v>
      </c>
      <c r="G262" s="101"/>
      <c r="H262" s="101"/>
      <c r="I262" s="111"/>
      <c r="J262" s="99"/>
      <c r="K262" s="99"/>
      <c r="L262" s="99"/>
      <c r="M262" s="263"/>
      <c r="N262" s="253">
        <f t="shared" ref="N262:R264" si="88">N263</f>
        <v>529.96299999999997</v>
      </c>
      <c r="O262" s="142">
        <f t="shared" si="88"/>
        <v>186</v>
      </c>
      <c r="P262" s="109">
        <f t="shared" si="88"/>
        <v>306</v>
      </c>
      <c r="Q262" s="254">
        <f t="shared" si="88"/>
        <v>230</v>
      </c>
      <c r="R262" s="255">
        <f t="shared" si="88"/>
        <v>239.2</v>
      </c>
    </row>
    <row r="263" spans="1:24" ht="13" x14ac:dyDescent="0.25">
      <c r="A263" s="229"/>
      <c r="B263" s="303" t="s">
        <v>343</v>
      </c>
      <c r="C263" s="111"/>
      <c r="D263" s="111" t="s">
        <v>97</v>
      </c>
      <c r="E263" s="111" t="s">
        <v>99</v>
      </c>
      <c r="F263" s="111" t="s">
        <v>344</v>
      </c>
      <c r="G263" s="101"/>
      <c r="H263" s="101"/>
      <c r="I263" s="111"/>
      <c r="J263" s="99">
        <f>J264</f>
        <v>200</v>
      </c>
      <c r="K263" s="99"/>
      <c r="L263" s="99">
        <f>L264</f>
        <v>200</v>
      </c>
      <c r="M263" s="263">
        <f>M264</f>
        <v>200</v>
      </c>
      <c r="N263" s="253">
        <f t="shared" si="88"/>
        <v>529.96299999999997</v>
      </c>
      <c r="O263" s="142">
        <f t="shared" si="88"/>
        <v>186</v>
      </c>
      <c r="P263" s="109">
        <f t="shared" si="88"/>
        <v>306</v>
      </c>
      <c r="Q263" s="254">
        <f t="shared" si="88"/>
        <v>230</v>
      </c>
      <c r="R263" s="255">
        <f t="shared" si="88"/>
        <v>239.2</v>
      </c>
    </row>
    <row r="264" spans="1:24" ht="25.15" customHeight="1" x14ac:dyDescent="0.25">
      <c r="A264" s="229"/>
      <c r="B264" s="262" t="s">
        <v>283</v>
      </c>
      <c r="C264" s="111"/>
      <c r="D264" s="111" t="s">
        <v>97</v>
      </c>
      <c r="E264" s="111" t="s">
        <v>99</v>
      </c>
      <c r="F264" s="111" t="s">
        <v>344</v>
      </c>
      <c r="G264" s="101">
        <v>240</v>
      </c>
      <c r="H264" s="101"/>
      <c r="I264" s="111"/>
      <c r="J264" s="99">
        <f>J265</f>
        <v>200</v>
      </c>
      <c r="K264" s="99"/>
      <c r="L264" s="99">
        <v>200</v>
      </c>
      <c r="M264" s="263">
        <v>200</v>
      </c>
      <c r="N264" s="253">
        <f t="shared" si="88"/>
        <v>529.96299999999997</v>
      </c>
      <c r="O264" s="142">
        <f t="shared" si="88"/>
        <v>186</v>
      </c>
      <c r="P264" s="109">
        <f t="shared" si="88"/>
        <v>306</v>
      </c>
      <c r="Q264" s="254">
        <f t="shared" si="88"/>
        <v>230</v>
      </c>
      <c r="R264" s="255">
        <f t="shared" si="88"/>
        <v>239.2</v>
      </c>
    </row>
    <row r="265" spans="1:24" ht="26" x14ac:dyDescent="0.3">
      <c r="A265" s="229"/>
      <c r="B265" s="304" t="s">
        <v>98</v>
      </c>
      <c r="C265" s="111"/>
      <c r="D265" s="111"/>
      <c r="E265" s="111"/>
      <c r="F265" s="111" t="s">
        <v>344</v>
      </c>
      <c r="G265" s="101">
        <v>240</v>
      </c>
      <c r="H265" s="111" t="s">
        <v>340</v>
      </c>
      <c r="I265" s="111" t="s">
        <v>338</v>
      </c>
      <c r="J265" s="99">
        <v>200</v>
      </c>
      <c r="K265" s="99"/>
      <c r="L265" s="99">
        <v>200</v>
      </c>
      <c r="M265" s="263">
        <v>200</v>
      </c>
      <c r="N265" s="253">
        <f>310+1.283+218.68</f>
        <v>529.96299999999997</v>
      </c>
      <c r="O265" s="142">
        <v>186</v>
      </c>
      <c r="P265" s="109">
        <v>306</v>
      </c>
      <c r="Q265" s="254">
        <v>230</v>
      </c>
      <c r="R265" s="255">
        <v>239.2</v>
      </c>
    </row>
    <row r="266" spans="1:24" ht="65" x14ac:dyDescent="0.25">
      <c r="A266" s="229"/>
      <c r="B266" s="136" t="s">
        <v>345</v>
      </c>
      <c r="C266" s="110"/>
      <c r="D266" s="111" t="s">
        <v>97</v>
      </c>
      <c r="E266" s="111" t="s">
        <v>99</v>
      </c>
      <c r="F266" s="111" t="s">
        <v>346</v>
      </c>
      <c r="G266" s="111"/>
      <c r="H266" s="111"/>
      <c r="I266" s="111"/>
      <c r="J266" s="99">
        <f>J268</f>
        <v>686</v>
      </c>
      <c r="K266" s="99"/>
      <c r="L266" s="99">
        <f>L268</f>
        <v>686</v>
      </c>
      <c r="M266" s="263">
        <f>M268</f>
        <v>686</v>
      </c>
      <c r="N266" s="253">
        <f t="shared" ref="N266:R267" si="89">N267</f>
        <v>174</v>
      </c>
      <c r="O266" s="142">
        <f t="shared" si="89"/>
        <v>696</v>
      </c>
      <c r="P266" s="109">
        <f t="shared" si="89"/>
        <v>30</v>
      </c>
      <c r="Q266" s="254">
        <f t="shared" si="89"/>
        <v>596</v>
      </c>
      <c r="R266" s="255">
        <f t="shared" si="89"/>
        <v>619.84</v>
      </c>
    </row>
    <row r="267" spans="1:24" ht="52" x14ac:dyDescent="0.25">
      <c r="A267" s="229"/>
      <c r="B267" s="272" t="s">
        <v>347</v>
      </c>
      <c r="C267" s="110"/>
      <c r="D267" s="111"/>
      <c r="E267" s="111"/>
      <c r="F267" s="111" t="s">
        <v>348</v>
      </c>
      <c r="G267" s="111"/>
      <c r="H267" s="111"/>
      <c r="I267" s="111"/>
      <c r="J267" s="99">
        <f>J266</f>
        <v>686</v>
      </c>
      <c r="K267" s="99"/>
      <c r="L267" s="99"/>
      <c r="M267" s="263"/>
      <c r="N267" s="253">
        <f t="shared" si="89"/>
        <v>174</v>
      </c>
      <c r="O267" s="142">
        <f t="shared" si="89"/>
        <v>696</v>
      </c>
      <c r="P267" s="109">
        <f t="shared" si="89"/>
        <v>30</v>
      </c>
      <c r="Q267" s="254">
        <f t="shared" si="89"/>
        <v>596</v>
      </c>
      <c r="R267" s="255">
        <f t="shared" si="89"/>
        <v>619.84</v>
      </c>
    </row>
    <row r="268" spans="1:24" ht="13" x14ac:dyDescent="0.25">
      <c r="A268" s="229"/>
      <c r="B268" s="303" t="s">
        <v>349</v>
      </c>
      <c r="C268" s="110"/>
      <c r="D268" s="111" t="s">
        <v>97</v>
      </c>
      <c r="E268" s="111" t="s">
        <v>99</v>
      </c>
      <c r="F268" s="111" t="s">
        <v>350</v>
      </c>
      <c r="G268" s="110"/>
      <c r="H268" s="110"/>
      <c r="I268" s="111"/>
      <c r="J268" s="99">
        <f>J270</f>
        <v>686</v>
      </c>
      <c r="K268" s="99"/>
      <c r="L268" s="99">
        <f t="shared" ref="L268:R268" si="90">L270</f>
        <v>686</v>
      </c>
      <c r="M268" s="263">
        <f t="shared" si="90"/>
        <v>686</v>
      </c>
      <c r="N268" s="253">
        <f t="shared" si="90"/>
        <v>174</v>
      </c>
      <c r="O268" s="142">
        <f t="shared" si="90"/>
        <v>696</v>
      </c>
      <c r="P268" s="109">
        <f t="shared" si="90"/>
        <v>30</v>
      </c>
      <c r="Q268" s="254">
        <f t="shared" si="90"/>
        <v>596</v>
      </c>
      <c r="R268" s="255">
        <f t="shared" si="90"/>
        <v>619.84</v>
      </c>
    </row>
    <row r="269" spans="1:24" ht="40.5" hidden="1" customHeight="1" x14ac:dyDescent="0.25">
      <c r="A269" s="229"/>
      <c r="B269" s="114" t="s">
        <v>112</v>
      </c>
      <c r="C269" s="137"/>
      <c r="D269" s="138" t="s">
        <v>97</v>
      </c>
      <c r="E269" s="138" t="s">
        <v>99</v>
      </c>
      <c r="F269" s="138" t="s">
        <v>113</v>
      </c>
      <c r="G269" s="139"/>
      <c r="H269" s="139"/>
      <c r="I269" s="138" t="s">
        <v>99</v>
      </c>
      <c r="J269" s="140"/>
      <c r="K269" s="140"/>
      <c r="L269" s="140"/>
      <c r="M269" s="305"/>
      <c r="N269" s="253"/>
      <c r="O269" s="142"/>
      <c r="P269" s="142"/>
      <c r="Q269" s="296"/>
      <c r="R269" s="255"/>
    </row>
    <row r="270" spans="1:24" ht="25.15" customHeight="1" x14ac:dyDescent="0.25">
      <c r="A270" s="229"/>
      <c r="B270" s="262" t="s">
        <v>283</v>
      </c>
      <c r="C270" s="137"/>
      <c r="D270" s="111" t="s">
        <v>97</v>
      </c>
      <c r="E270" s="111" t="s">
        <v>99</v>
      </c>
      <c r="F270" s="111" t="s">
        <v>350</v>
      </c>
      <c r="G270" s="89" t="s">
        <v>65</v>
      </c>
      <c r="H270" s="89"/>
      <c r="I270" s="111"/>
      <c r="J270" s="99">
        <v>686</v>
      </c>
      <c r="K270" s="140"/>
      <c r="L270" s="99">
        <v>686</v>
      </c>
      <c r="M270" s="263">
        <v>686</v>
      </c>
      <c r="N270" s="253">
        <f>N271</f>
        <v>174</v>
      </c>
      <c r="O270" s="142">
        <f>O271</f>
        <v>696</v>
      </c>
      <c r="P270" s="109">
        <f>P271</f>
        <v>30</v>
      </c>
      <c r="Q270" s="254">
        <f>Q271</f>
        <v>596</v>
      </c>
      <c r="R270" s="255">
        <f>R271</f>
        <v>619.84</v>
      </c>
    </row>
    <row r="271" spans="1:24" ht="27.65" customHeight="1" x14ac:dyDescent="0.3">
      <c r="A271" s="229"/>
      <c r="B271" s="304" t="s">
        <v>98</v>
      </c>
      <c r="C271" s="137"/>
      <c r="D271" s="111"/>
      <c r="E271" s="111"/>
      <c r="F271" s="111" t="s">
        <v>350</v>
      </c>
      <c r="G271" s="89" t="s">
        <v>65</v>
      </c>
      <c r="H271" s="111" t="s">
        <v>340</v>
      </c>
      <c r="I271" s="111" t="s">
        <v>338</v>
      </c>
      <c r="J271" s="99">
        <v>686</v>
      </c>
      <c r="K271" s="140"/>
      <c r="L271" s="99">
        <v>686</v>
      </c>
      <c r="M271" s="263">
        <v>686</v>
      </c>
      <c r="N271" s="253">
        <f>392.68-218.68</f>
        <v>174</v>
      </c>
      <c r="O271" s="142">
        <v>696</v>
      </c>
      <c r="P271" s="109">
        <v>30</v>
      </c>
      <c r="Q271" s="254">
        <v>596</v>
      </c>
      <c r="R271" s="255">
        <v>619.84</v>
      </c>
    </row>
    <row r="272" spans="1:24" s="66" customFormat="1" ht="38.25" customHeight="1" x14ac:dyDescent="0.3">
      <c r="A272" s="245">
        <v>5</v>
      </c>
      <c r="B272" s="100" t="s">
        <v>351</v>
      </c>
      <c r="C272" s="83"/>
      <c r="D272" s="83" t="s">
        <v>119</v>
      </c>
      <c r="E272" s="83" t="s">
        <v>121</v>
      </c>
      <c r="F272" s="83" t="s">
        <v>352</v>
      </c>
      <c r="G272" s="132"/>
      <c r="H272" s="132"/>
      <c r="I272" s="83"/>
      <c r="J272" s="133">
        <f>J273+J288</f>
        <v>1600</v>
      </c>
      <c r="K272" s="149"/>
      <c r="L272" s="133">
        <f t="shared" ref="L272:R272" si="91">L273+L288</f>
        <v>11444.685000000001</v>
      </c>
      <c r="M272" s="268">
        <f t="shared" si="91"/>
        <v>14038.547</v>
      </c>
      <c r="N272" s="248">
        <f t="shared" si="91"/>
        <v>4330.8469999999998</v>
      </c>
      <c r="O272" s="180">
        <f t="shared" si="91"/>
        <v>5740</v>
      </c>
      <c r="P272" s="134">
        <f t="shared" si="91"/>
        <v>5980</v>
      </c>
      <c r="Q272" s="269">
        <f t="shared" si="91"/>
        <v>3908.3220000000001</v>
      </c>
      <c r="R272" s="270">
        <f t="shared" si="91"/>
        <v>3021.3209999999999</v>
      </c>
      <c r="S272" s="73"/>
      <c r="T272" s="73"/>
      <c r="U272" s="73"/>
      <c r="V272" s="73"/>
      <c r="W272" s="73"/>
      <c r="X272" s="73"/>
    </row>
    <row r="273" spans="1:24" s="66" customFormat="1" ht="26" x14ac:dyDescent="0.3">
      <c r="A273" s="271"/>
      <c r="B273" s="136" t="s">
        <v>353</v>
      </c>
      <c r="C273" s="89"/>
      <c r="D273" s="89" t="s">
        <v>119</v>
      </c>
      <c r="E273" s="89" t="s">
        <v>121</v>
      </c>
      <c r="F273" s="89" t="s">
        <v>354</v>
      </c>
      <c r="G273" s="89"/>
      <c r="H273" s="89"/>
      <c r="I273" s="89"/>
      <c r="J273" s="95">
        <f>J274</f>
        <v>800</v>
      </c>
      <c r="K273" s="99"/>
      <c r="L273" s="99">
        <f>L275</f>
        <v>10777.685000000001</v>
      </c>
      <c r="M273" s="252">
        <f>M275</f>
        <v>13305.547</v>
      </c>
      <c r="N273" s="253">
        <f>N274</f>
        <v>3002.7749999999996</v>
      </c>
      <c r="O273" s="142">
        <f>O274</f>
        <v>0</v>
      </c>
      <c r="P273" s="109">
        <f>P274</f>
        <v>0</v>
      </c>
      <c r="Q273" s="254">
        <f>Q274</f>
        <v>1726.1220000000001</v>
      </c>
      <c r="R273" s="255">
        <f>R274</f>
        <v>1726.1220000000001</v>
      </c>
      <c r="S273" s="73"/>
      <c r="T273" s="73"/>
      <c r="U273" s="73"/>
      <c r="V273" s="73"/>
      <c r="W273" s="73"/>
      <c r="X273" s="73"/>
    </row>
    <row r="274" spans="1:24" s="66" customFormat="1" ht="59.15" customHeight="1" x14ac:dyDescent="0.3">
      <c r="A274" s="271"/>
      <c r="B274" s="272" t="s">
        <v>355</v>
      </c>
      <c r="C274" s="89"/>
      <c r="D274" s="89"/>
      <c r="E274" s="89"/>
      <c r="F274" s="89" t="s">
        <v>356</v>
      </c>
      <c r="G274" s="83"/>
      <c r="H274" s="83"/>
      <c r="I274" s="89"/>
      <c r="J274" s="95">
        <f>J277+J281+J284+J287</f>
        <v>800</v>
      </c>
      <c r="K274" s="99"/>
      <c r="L274" s="99"/>
      <c r="M274" s="252"/>
      <c r="N274" s="253">
        <f>N277+N281+N287</f>
        <v>3002.7749999999996</v>
      </c>
      <c r="O274" s="142">
        <f>O277+O281+O287</f>
        <v>0</v>
      </c>
      <c r="P274" s="109">
        <f>P277+P281+P287</f>
        <v>0</v>
      </c>
      <c r="Q274" s="254">
        <f>Q277+Q281+Q287</f>
        <v>1726.1220000000001</v>
      </c>
      <c r="R274" s="255">
        <f>R277+R281+R287</f>
        <v>1726.1220000000001</v>
      </c>
      <c r="S274" s="73"/>
      <c r="T274" s="73"/>
      <c r="U274" s="73"/>
      <c r="V274" s="73"/>
      <c r="W274" s="73"/>
      <c r="X274" s="73"/>
    </row>
    <row r="275" spans="1:24" s="66" customFormat="1" ht="13" x14ac:dyDescent="0.3">
      <c r="A275" s="271"/>
      <c r="B275" s="303" t="s">
        <v>357</v>
      </c>
      <c r="C275" s="89"/>
      <c r="D275" s="89" t="s">
        <v>119</v>
      </c>
      <c r="E275" s="89" t="s">
        <v>121</v>
      </c>
      <c r="F275" s="89" t="s">
        <v>358</v>
      </c>
      <c r="G275" s="89"/>
      <c r="H275" s="89"/>
      <c r="I275" s="89"/>
      <c r="J275" s="95">
        <f>J276</f>
        <v>0</v>
      </c>
      <c r="K275" s="99"/>
      <c r="L275" s="95">
        <f>L279</f>
        <v>10777.685000000001</v>
      </c>
      <c r="M275" s="252">
        <f>M279</f>
        <v>13305.547</v>
      </c>
      <c r="N275" s="253">
        <f t="shared" ref="N275:R276" si="92">N276</f>
        <v>1207.0939999999998</v>
      </c>
      <c r="O275" s="142">
        <f t="shared" si="92"/>
        <v>0</v>
      </c>
      <c r="P275" s="109">
        <f t="shared" si="92"/>
        <v>0</v>
      </c>
      <c r="Q275" s="306">
        <f t="shared" si="92"/>
        <v>0</v>
      </c>
      <c r="R275" s="307">
        <f t="shared" si="92"/>
        <v>0</v>
      </c>
      <c r="S275" s="73"/>
      <c r="T275" s="73"/>
      <c r="U275" s="73"/>
      <c r="V275" s="73"/>
      <c r="W275" s="73"/>
      <c r="X275" s="73"/>
    </row>
    <row r="276" spans="1:24" s="66" customFormat="1" ht="26" x14ac:dyDescent="0.3">
      <c r="A276" s="271"/>
      <c r="B276" s="262" t="s">
        <v>283</v>
      </c>
      <c r="C276" s="89"/>
      <c r="D276" s="89"/>
      <c r="E276" s="89"/>
      <c r="F276" s="89" t="s">
        <v>358</v>
      </c>
      <c r="G276" s="89" t="s">
        <v>65</v>
      </c>
      <c r="H276" s="89"/>
      <c r="I276" s="89"/>
      <c r="J276" s="95">
        <f>J277</f>
        <v>0</v>
      </c>
      <c r="K276" s="99"/>
      <c r="L276" s="95"/>
      <c r="M276" s="252"/>
      <c r="N276" s="253">
        <f t="shared" si="92"/>
        <v>1207.0939999999998</v>
      </c>
      <c r="O276" s="142">
        <f t="shared" si="92"/>
        <v>0</v>
      </c>
      <c r="P276" s="109">
        <f t="shared" si="92"/>
        <v>0</v>
      </c>
      <c r="Q276" s="306">
        <f t="shared" si="92"/>
        <v>0</v>
      </c>
      <c r="R276" s="307">
        <f t="shared" si="92"/>
        <v>0</v>
      </c>
      <c r="S276" s="73"/>
      <c r="T276" s="73"/>
      <c r="U276" s="73"/>
      <c r="V276" s="73"/>
      <c r="W276" s="73"/>
      <c r="X276" s="73"/>
    </row>
    <row r="277" spans="1:24" s="66" customFormat="1" ht="13" x14ac:dyDescent="0.3">
      <c r="A277" s="271"/>
      <c r="B277" s="118" t="s">
        <v>120</v>
      </c>
      <c r="C277" s="89"/>
      <c r="D277" s="89"/>
      <c r="E277" s="89"/>
      <c r="F277" s="89" t="s">
        <v>358</v>
      </c>
      <c r="G277" s="89" t="s">
        <v>65</v>
      </c>
      <c r="H277" s="111" t="s">
        <v>298</v>
      </c>
      <c r="I277" s="111" t="s">
        <v>338</v>
      </c>
      <c r="J277" s="95"/>
      <c r="K277" s="99"/>
      <c r="L277" s="95"/>
      <c r="M277" s="252"/>
      <c r="N277" s="253">
        <f>2404.95-797.856-400</f>
        <v>1207.0939999999998</v>
      </c>
      <c r="O277" s="142"/>
      <c r="P277" s="109"/>
      <c r="Q277" s="306">
        <v>0</v>
      </c>
      <c r="R277" s="307">
        <v>0</v>
      </c>
      <c r="S277" s="73"/>
      <c r="T277" s="73"/>
      <c r="U277" s="73"/>
      <c r="V277" s="73"/>
      <c r="W277" s="73"/>
      <c r="X277" s="73"/>
    </row>
    <row r="278" spans="1:24" s="66" customFormat="1" ht="26" x14ac:dyDescent="0.3">
      <c r="A278" s="271"/>
      <c r="B278" s="303" t="s">
        <v>359</v>
      </c>
      <c r="C278" s="89"/>
      <c r="D278" s="89"/>
      <c r="E278" s="89"/>
      <c r="F278" s="89" t="s">
        <v>360</v>
      </c>
      <c r="G278" s="89"/>
      <c r="H278" s="89"/>
      <c r="I278" s="89"/>
      <c r="J278" s="95">
        <f>J279</f>
        <v>800</v>
      </c>
      <c r="K278" s="99"/>
      <c r="L278" s="95"/>
      <c r="M278" s="252"/>
      <c r="N278" s="253">
        <f>N279</f>
        <v>1795.681</v>
      </c>
      <c r="O278" s="142">
        <f>O279</f>
        <v>0</v>
      </c>
      <c r="P278" s="109">
        <f>P279</f>
        <v>0</v>
      </c>
      <c r="Q278" s="254">
        <f>Q279</f>
        <v>1726.1220000000001</v>
      </c>
      <c r="R278" s="255">
        <f>R279</f>
        <v>1726.1220000000001</v>
      </c>
      <c r="S278" s="73"/>
      <c r="T278" s="73"/>
      <c r="U278" s="73"/>
      <c r="V278" s="73"/>
      <c r="W278" s="73"/>
      <c r="X278" s="73"/>
    </row>
    <row r="279" spans="1:24" s="66" customFormat="1" ht="25.15" customHeight="1" x14ac:dyDescent="0.3">
      <c r="A279" s="271"/>
      <c r="B279" s="262" t="s">
        <v>283</v>
      </c>
      <c r="C279" s="89"/>
      <c r="D279" s="89" t="s">
        <v>119</v>
      </c>
      <c r="E279" s="89" t="s">
        <v>121</v>
      </c>
      <c r="F279" s="89" t="s">
        <v>360</v>
      </c>
      <c r="G279" s="89" t="s">
        <v>65</v>
      </c>
      <c r="H279" s="89"/>
      <c r="I279" s="89"/>
      <c r="J279" s="95">
        <f>J281</f>
        <v>800</v>
      </c>
      <c r="K279" s="99"/>
      <c r="L279" s="95">
        <f>22480.2-11702.515</f>
        <v>10777.685000000001</v>
      </c>
      <c r="M279" s="252">
        <v>13305.547</v>
      </c>
      <c r="N279" s="253">
        <f>N281</f>
        <v>1795.681</v>
      </c>
      <c r="O279" s="142">
        <f>O281</f>
        <v>0</v>
      </c>
      <c r="P279" s="109">
        <f>P281</f>
        <v>0</v>
      </c>
      <c r="Q279" s="254">
        <f>Q281</f>
        <v>1726.1220000000001</v>
      </c>
      <c r="R279" s="255">
        <f>R281</f>
        <v>1726.1220000000001</v>
      </c>
      <c r="S279" s="73"/>
      <c r="T279" s="73"/>
      <c r="U279" s="73"/>
      <c r="V279" s="73"/>
      <c r="W279" s="73"/>
      <c r="X279" s="73"/>
    </row>
    <row r="280" spans="1:24" s="66" customFormat="1" ht="52" hidden="1" x14ac:dyDescent="0.3">
      <c r="A280" s="271"/>
      <c r="B280" s="112" t="s">
        <v>128</v>
      </c>
      <c r="C280" s="83"/>
      <c r="D280" s="89" t="s">
        <v>119</v>
      </c>
      <c r="E280" s="89" t="s">
        <v>121</v>
      </c>
      <c r="F280" s="89" t="s">
        <v>129</v>
      </c>
      <c r="G280" s="83"/>
      <c r="H280" s="83"/>
      <c r="I280" s="89" t="s">
        <v>121</v>
      </c>
      <c r="J280" s="99"/>
      <c r="K280" s="99"/>
      <c r="L280" s="99"/>
      <c r="M280" s="263"/>
      <c r="N280" s="253"/>
      <c r="O280" s="142"/>
      <c r="P280" s="109"/>
      <c r="Q280" s="254"/>
      <c r="R280" s="255"/>
      <c r="S280" s="73"/>
      <c r="T280" s="73"/>
      <c r="U280" s="73"/>
      <c r="V280" s="73"/>
      <c r="W280" s="73"/>
      <c r="X280" s="73"/>
    </row>
    <row r="281" spans="1:24" s="66" customFormat="1" ht="13" x14ac:dyDescent="0.3">
      <c r="A281" s="271"/>
      <c r="B281" s="118" t="s">
        <v>120</v>
      </c>
      <c r="C281" s="83"/>
      <c r="D281" s="89"/>
      <c r="E281" s="89"/>
      <c r="F281" s="89" t="s">
        <v>360</v>
      </c>
      <c r="G281" s="89" t="s">
        <v>65</v>
      </c>
      <c r="H281" s="111" t="s">
        <v>298</v>
      </c>
      <c r="I281" s="111" t="s">
        <v>338</v>
      </c>
      <c r="J281" s="95">
        <v>800</v>
      </c>
      <c r="K281" s="99"/>
      <c r="L281" s="95">
        <f>22480.2-11702.515</f>
        <v>10777.685000000001</v>
      </c>
      <c r="M281" s="252">
        <v>13305.547</v>
      </c>
      <c r="N281" s="253">
        <f>1695.014+489.567-388.9</f>
        <v>1795.681</v>
      </c>
      <c r="O281" s="142"/>
      <c r="P281" s="109"/>
      <c r="Q281" s="254">
        <v>1726.1220000000001</v>
      </c>
      <c r="R281" s="255">
        <v>1726.1220000000001</v>
      </c>
      <c r="S281" s="73"/>
      <c r="T281" s="73"/>
      <c r="U281" s="73"/>
      <c r="V281" s="73"/>
      <c r="W281" s="73"/>
      <c r="X281" s="73"/>
    </row>
    <row r="282" spans="1:24" s="66" customFormat="1" ht="39" hidden="1" x14ac:dyDescent="0.3">
      <c r="A282" s="271"/>
      <c r="B282" s="303" t="s">
        <v>361</v>
      </c>
      <c r="C282" s="83"/>
      <c r="D282" s="89"/>
      <c r="E282" s="89"/>
      <c r="F282" s="89" t="s">
        <v>362</v>
      </c>
      <c r="G282" s="89"/>
      <c r="H282" s="89"/>
      <c r="I282" s="89"/>
      <c r="J282" s="95">
        <f>J283</f>
        <v>0</v>
      </c>
      <c r="K282" s="99"/>
      <c r="L282" s="95"/>
      <c r="M282" s="252"/>
      <c r="N282" s="253">
        <f t="shared" ref="N282:R283" si="93">N283</f>
        <v>0</v>
      </c>
      <c r="O282" s="142">
        <f t="shared" si="93"/>
        <v>0</v>
      </c>
      <c r="P282" s="109">
        <f t="shared" si="93"/>
        <v>0</v>
      </c>
      <c r="Q282" s="254">
        <f t="shared" si="93"/>
        <v>0</v>
      </c>
      <c r="R282" s="255">
        <f t="shared" si="93"/>
        <v>0</v>
      </c>
      <c r="S282" s="73"/>
      <c r="T282" s="73"/>
      <c r="U282" s="73"/>
      <c r="V282" s="73"/>
      <c r="W282" s="73"/>
      <c r="X282" s="73"/>
    </row>
    <row r="283" spans="1:24" s="66" customFormat="1" ht="26" hidden="1" x14ac:dyDescent="0.3">
      <c r="A283" s="271"/>
      <c r="B283" s="262" t="s">
        <v>283</v>
      </c>
      <c r="C283" s="83"/>
      <c r="D283" s="89"/>
      <c r="E283" s="89"/>
      <c r="F283" s="89" t="s">
        <v>362</v>
      </c>
      <c r="G283" s="89" t="s">
        <v>65</v>
      </c>
      <c r="H283" s="89"/>
      <c r="I283" s="89"/>
      <c r="J283" s="95">
        <f>J284</f>
        <v>0</v>
      </c>
      <c r="K283" s="99"/>
      <c r="L283" s="95"/>
      <c r="M283" s="252"/>
      <c r="N283" s="253">
        <f t="shared" si="93"/>
        <v>0</v>
      </c>
      <c r="O283" s="142">
        <f t="shared" si="93"/>
        <v>0</v>
      </c>
      <c r="P283" s="109">
        <f t="shared" si="93"/>
        <v>0</v>
      </c>
      <c r="Q283" s="254">
        <f t="shared" si="93"/>
        <v>0</v>
      </c>
      <c r="R283" s="255">
        <f t="shared" si="93"/>
        <v>0</v>
      </c>
      <c r="S283" s="73"/>
      <c r="T283" s="73"/>
      <c r="U283" s="73"/>
      <c r="V283" s="73"/>
      <c r="W283" s="73"/>
      <c r="X283" s="73"/>
    </row>
    <row r="284" spans="1:24" s="66" customFormat="1" ht="13" hidden="1" x14ac:dyDescent="0.3">
      <c r="A284" s="271"/>
      <c r="B284" s="118" t="s">
        <v>120</v>
      </c>
      <c r="C284" s="83"/>
      <c r="D284" s="89"/>
      <c r="E284" s="89"/>
      <c r="F284" s="89" t="s">
        <v>362</v>
      </c>
      <c r="G284" s="89" t="s">
        <v>65</v>
      </c>
      <c r="H284" s="89" t="s">
        <v>298</v>
      </c>
      <c r="I284" s="89" t="s">
        <v>338</v>
      </c>
      <c r="J284" s="95"/>
      <c r="K284" s="99"/>
      <c r="L284" s="95"/>
      <c r="M284" s="252"/>
      <c r="N284" s="253"/>
      <c r="O284" s="142"/>
      <c r="P284" s="109"/>
      <c r="Q284" s="254"/>
      <c r="R284" s="255"/>
      <c r="S284" s="73"/>
      <c r="T284" s="73"/>
      <c r="U284" s="73"/>
      <c r="V284" s="73"/>
      <c r="W284" s="73"/>
      <c r="X284" s="73"/>
    </row>
    <row r="285" spans="1:24" s="66" customFormat="1" ht="26" hidden="1" x14ac:dyDescent="0.3">
      <c r="A285" s="271" t="s">
        <v>44</v>
      </c>
      <c r="B285" s="304" t="s">
        <v>363</v>
      </c>
      <c r="C285" s="83"/>
      <c r="D285" s="89"/>
      <c r="E285" s="89"/>
      <c r="F285" s="89" t="s">
        <v>364</v>
      </c>
      <c r="G285" s="89"/>
      <c r="H285" s="89"/>
      <c r="I285" s="89"/>
      <c r="J285" s="95">
        <f>J286</f>
        <v>0</v>
      </c>
      <c r="K285" s="99"/>
      <c r="L285" s="95"/>
      <c r="M285" s="252"/>
      <c r="N285" s="253">
        <f t="shared" ref="N285:R286" si="94">N286</f>
        <v>0</v>
      </c>
      <c r="O285" s="142">
        <f t="shared" si="94"/>
        <v>0</v>
      </c>
      <c r="P285" s="109">
        <f t="shared" si="94"/>
        <v>0</v>
      </c>
      <c r="Q285" s="254">
        <f t="shared" si="94"/>
        <v>0</v>
      </c>
      <c r="R285" s="255">
        <f t="shared" si="94"/>
        <v>0</v>
      </c>
      <c r="S285" s="73"/>
      <c r="T285" s="73"/>
      <c r="U285" s="73"/>
      <c r="V285" s="73"/>
      <c r="W285" s="73"/>
      <c r="X285" s="73"/>
    </row>
    <row r="286" spans="1:24" s="66" customFormat="1" ht="26" hidden="1" x14ac:dyDescent="0.3">
      <c r="A286" s="271"/>
      <c r="B286" s="262" t="s">
        <v>283</v>
      </c>
      <c r="C286" s="83"/>
      <c r="D286" s="89"/>
      <c r="E286" s="89"/>
      <c r="F286" s="89" t="s">
        <v>364</v>
      </c>
      <c r="G286" s="89" t="s">
        <v>65</v>
      </c>
      <c r="H286" s="89"/>
      <c r="I286" s="89"/>
      <c r="J286" s="95">
        <f>J287</f>
        <v>0</v>
      </c>
      <c r="K286" s="99"/>
      <c r="L286" s="95"/>
      <c r="M286" s="252"/>
      <c r="N286" s="253">
        <f t="shared" si="94"/>
        <v>0</v>
      </c>
      <c r="O286" s="142">
        <f t="shared" si="94"/>
        <v>0</v>
      </c>
      <c r="P286" s="109">
        <f t="shared" si="94"/>
        <v>0</v>
      </c>
      <c r="Q286" s="254">
        <f t="shared" si="94"/>
        <v>0</v>
      </c>
      <c r="R286" s="255">
        <f t="shared" si="94"/>
        <v>0</v>
      </c>
      <c r="S286" s="73"/>
      <c r="T286" s="73"/>
      <c r="U286" s="73"/>
      <c r="V286" s="73"/>
      <c r="W286" s="73"/>
      <c r="X286" s="73"/>
    </row>
    <row r="287" spans="1:24" s="66" customFormat="1" ht="13" hidden="1" x14ac:dyDescent="0.3">
      <c r="A287" s="271"/>
      <c r="B287" s="118" t="s">
        <v>120</v>
      </c>
      <c r="C287" s="83"/>
      <c r="D287" s="89"/>
      <c r="E287" s="89"/>
      <c r="F287" s="89" t="s">
        <v>364</v>
      </c>
      <c r="G287" s="89" t="s">
        <v>65</v>
      </c>
      <c r="H287" s="111" t="s">
        <v>298</v>
      </c>
      <c r="I287" s="111" t="s">
        <v>338</v>
      </c>
      <c r="J287" s="95"/>
      <c r="K287" s="99"/>
      <c r="L287" s="95"/>
      <c r="M287" s="252"/>
      <c r="N287" s="253"/>
      <c r="O287" s="142"/>
      <c r="P287" s="109"/>
      <c r="Q287" s="254"/>
      <c r="R287" s="255"/>
      <c r="S287" s="73"/>
      <c r="T287" s="73"/>
      <c r="U287" s="73"/>
      <c r="V287" s="73"/>
      <c r="W287" s="73"/>
      <c r="X287" s="73"/>
    </row>
    <row r="288" spans="1:24" s="66" customFormat="1" ht="39" x14ac:dyDescent="0.3">
      <c r="A288" s="271"/>
      <c r="B288" s="136" t="s">
        <v>365</v>
      </c>
      <c r="C288" s="83"/>
      <c r="D288" s="89" t="s">
        <v>119</v>
      </c>
      <c r="E288" s="89" t="s">
        <v>121</v>
      </c>
      <c r="F288" s="89" t="s">
        <v>366</v>
      </c>
      <c r="G288" s="89"/>
      <c r="H288" s="89"/>
      <c r="I288" s="89"/>
      <c r="J288" s="99">
        <f>J289</f>
        <v>800</v>
      </c>
      <c r="K288" s="99"/>
      <c r="L288" s="99">
        <f>L289</f>
        <v>667</v>
      </c>
      <c r="M288" s="263">
        <f>M289</f>
        <v>733</v>
      </c>
      <c r="N288" s="253">
        <f>N292+N295</f>
        <v>1328.0720000000001</v>
      </c>
      <c r="O288" s="142">
        <f>O292+O295</f>
        <v>5740</v>
      </c>
      <c r="P288" s="109">
        <f>P292+P295</f>
        <v>5980</v>
      </c>
      <c r="Q288" s="254">
        <f>Q292+Q295</f>
        <v>2182.1999999999998</v>
      </c>
      <c r="R288" s="255">
        <f>R292+R295</f>
        <v>1295.1990000000001</v>
      </c>
      <c r="S288" s="73"/>
      <c r="T288" s="73"/>
      <c r="U288" s="73"/>
      <c r="V288" s="73"/>
      <c r="W288" s="73"/>
      <c r="X288" s="73"/>
    </row>
    <row r="289" spans="1:256" s="66" customFormat="1" ht="26" x14ac:dyDescent="0.3">
      <c r="A289" s="271"/>
      <c r="B289" s="272" t="s">
        <v>367</v>
      </c>
      <c r="C289" s="83"/>
      <c r="D289" s="89" t="s">
        <v>119</v>
      </c>
      <c r="E289" s="89" t="s">
        <v>121</v>
      </c>
      <c r="F289" s="89" t="s">
        <v>368</v>
      </c>
      <c r="G289" s="101"/>
      <c r="H289" s="101"/>
      <c r="I289" s="89"/>
      <c r="J289" s="99">
        <f>J293</f>
        <v>800</v>
      </c>
      <c r="K289" s="99"/>
      <c r="L289" s="99">
        <f>L294</f>
        <v>667</v>
      </c>
      <c r="M289" s="263">
        <f>M294</f>
        <v>733</v>
      </c>
      <c r="N289" s="253">
        <f>N293+N292</f>
        <v>1328.0720000000001</v>
      </c>
      <c r="O289" s="142">
        <f>O293</f>
        <v>500</v>
      </c>
      <c r="P289" s="109">
        <f>P293</f>
        <v>600</v>
      </c>
      <c r="Q289" s="254">
        <f>Q293+Q292</f>
        <v>2182.1999999999998</v>
      </c>
      <c r="R289" s="255">
        <f>R293+R292</f>
        <v>1295.1990000000001</v>
      </c>
      <c r="S289" s="73"/>
      <c r="T289" s="73"/>
      <c r="U289" s="73"/>
      <c r="V289" s="73"/>
      <c r="W289" s="73"/>
      <c r="X289" s="73"/>
    </row>
    <row r="290" spans="1:256" s="66" customFormat="1" ht="13" x14ac:dyDescent="0.3">
      <c r="A290" s="271"/>
      <c r="B290" s="303" t="s">
        <v>357</v>
      </c>
      <c r="C290" s="83"/>
      <c r="D290" s="89"/>
      <c r="E290" s="89"/>
      <c r="F290" s="89" t="s">
        <v>369</v>
      </c>
      <c r="G290" s="101"/>
      <c r="H290" s="101"/>
      <c r="I290" s="89"/>
      <c r="J290" s="99"/>
      <c r="K290" s="99"/>
      <c r="L290" s="99"/>
      <c r="M290" s="263"/>
      <c r="N290" s="253">
        <f t="shared" ref="N290:R291" si="95">N291</f>
        <v>601.40300000000002</v>
      </c>
      <c r="O290" s="142">
        <f t="shared" si="95"/>
        <v>5240</v>
      </c>
      <c r="P290" s="109">
        <f t="shared" si="95"/>
        <v>5380</v>
      </c>
      <c r="Q290" s="254">
        <f t="shared" si="95"/>
        <v>1722.2</v>
      </c>
      <c r="R290" s="255">
        <f t="shared" si="95"/>
        <v>775.19899999999996</v>
      </c>
      <c r="S290" s="73"/>
      <c r="T290" s="73"/>
      <c r="U290" s="73"/>
      <c r="V290" s="73"/>
      <c r="W290" s="73"/>
      <c r="X290" s="73"/>
    </row>
    <row r="291" spans="1:256" s="66" customFormat="1" ht="26" x14ac:dyDescent="0.3">
      <c r="A291" s="271"/>
      <c r="B291" s="262" t="s">
        <v>283</v>
      </c>
      <c r="C291" s="83"/>
      <c r="D291" s="89"/>
      <c r="E291" s="89"/>
      <c r="F291" s="89" t="s">
        <v>369</v>
      </c>
      <c r="G291" s="101">
        <v>240</v>
      </c>
      <c r="H291" s="101"/>
      <c r="I291" s="89"/>
      <c r="J291" s="99"/>
      <c r="K291" s="99"/>
      <c r="L291" s="99"/>
      <c r="M291" s="263"/>
      <c r="N291" s="253">
        <f t="shared" si="95"/>
        <v>601.40300000000002</v>
      </c>
      <c r="O291" s="142">
        <f t="shared" si="95"/>
        <v>5240</v>
      </c>
      <c r="P291" s="109">
        <f t="shared" si="95"/>
        <v>5380</v>
      </c>
      <c r="Q291" s="254">
        <f t="shared" si="95"/>
        <v>1722.2</v>
      </c>
      <c r="R291" s="255">
        <f t="shared" si="95"/>
        <v>775.19899999999996</v>
      </c>
      <c r="S291" s="73"/>
      <c r="T291" s="73"/>
      <c r="U291" s="73"/>
      <c r="V291" s="73"/>
      <c r="W291" s="73"/>
      <c r="X291" s="73"/>
    </row>
    <row r="292" spans="1:256" s="66" customFormat="1" ht="13" x14ac:dyDescent="0.3">
      <c r="A292" s="271"/>
      <c r="B292" s="118" t="s">
        <v>120</v>
      </c>
      <c r="C292" s="83"/>
      <c r="D292" s="89"/>
      <c r="E292" s="89"/>
      <c r="F292" s="89" t="s">
        <v>369</v>
      </c>
      <c r="G292" s="101">
        <v>240</v>
      </c>
      <c r="H292" s="111" t="s">
        <v>298</v>
      </c>
      <c r="I292" s="111" t="s">
        <v>338</v>
      </c>
      <c r="J292" s="99"/>
      <c r="K292" s="99"/>
      <c r="L292" s="99"/>
      <c r="M292" s="263"/>
      <c r="N292" s="253">
        <f>750-148.597</f>
        <v>601.40300000000002</v>
      </c>
      <c r="O292" s="142">
        <v>5240</v>
      </c>
      <c r="P292" s="109">
        <v>5380</v>
      </c>
      <c r="Q292" s="254">
        <v>1722.2</v>
      </c>
      <c r="R292" s="255">
        <v>775.19899999999996</v>
      </c>
      <c r="S292" s="73"/>
      <c r="T292" s="73"/>
      <c r="U292" s="73"/>
      <c r="V292" s="73"/>
      <c r="W292" s="73"/>
      <c r="X292" s="73"/>
    </row>
    <row r="293" spans="1:256" s="66" customFormat="1" ht="26" x14ac:dyDescent="0.3">
      <c r="A293" s="271"/>
      <c r="B293" s="303" t="s">
        <v>370</v>
      </c>
      <c r="C293" s="83"/>
      <c r="D293" s="89"/>
      <c r="E293" s="89"/>
      <c r="F293" s="89" t="s">
        <v>371</v>
      </c>
      <c r="G293" s="101"/>
      <c r="H293" s="101"/>
      <c r="I293" s="89"/>
      <c r="J293" s="99">
        <f>J294</f>
        <v>800</v>
      </c>
      <c r="K293" s="99"/>
      <c r="L293" s="99"/>
      <c r="M293" s="263"/>
      <c r="N293" s="253">
        <f t="shared" ref="N293:R294" si="96">N294</f>
        <v>726.66899999999998</v>
      </c>
      <c r="O293" s="142">
        <f t="shared" si="96"/>
        <v>500</v>
      </c>
      <c r="P293" s="109">
        <f t="shared" si="96"/>
        <v>600</v>
      </c>
      <c r="Q293" s="254">
        <f t="shared" si="96"/>
        <v>460</v>
      </c>
      <c r="R293" s="255">
        <f t="shared" si="96"/>
        <v>520</v>
      </c>
      <c r="S293" s="73"/>
      <c r="T293" s="73"/>
      <c r="U293" s="73"/>
      <c r="V293" s="73"/>
      <c r="W293" s="73"/>
      <c r="X293" s="73"/>
    </row>
    <row r="294" spans="1:256" s="66" customFormat="1" ht="25.15" customHeight="1" x14ac:dyDescent="0.3">
      <c r="A294" s="271"/>
      <c r="B294" s="262" t="s">
        <v>283</v>
      </c>
      <c r="C294" s="83"/>
      <c r="D294" s="89" t="s">
        <v>119</v>
      </c>
      <c r="E294" s="89" t="s">
        <v>121</v>
      </c>
      <c r="F294" s="89" t="s">
        <v>371</v>
      </c>
      <c r="G294" s="101">
        <v>240</v>
      </c>
      <c r="H294" s="101"/>
      <c r="I294" s="89"/>
      <c r="J294" s="99">
        <f>J295</f>
        <v>800</v>
      </c>
      <c r="K294" s="99"/>
      <c r="L294" s="99">
        <v>667</v>
      </c>
      <c r="M294" s="263">
        <v>733</v>
      </c>
      <c r="N294" s="253">
        <f t="shared" si="96"/>
        <v>726.66899999999998</v>
      </c>
      <c r="O294" s="142">
        <f t="shared" si="96"/>
        <v>500</v>
      </c>
      <c r="P294" s="109">
        <f t="shared" si="96"/>
        <v>600</v>
      </c>
      <c r="Q294" s="254">
        <f t="shared" si="96"/>
        <v>460</v>
      </c>
      <c r="R294" s="255">
        <f t="shared" si="96"/>
        <v>520</v>
      </c>
      <c r="S294" s="73"/>
      <c r="T294" s="73"/>
      <c r="U294" s="73"/>
      <c r="V294" s="73"/>
      <c r="W294" s="73"/>
      <c r="X294" s="73"/>
    </row>
    <row r="295" spans="1:256" s="66" customFormat="1" ht="13" x14ac:dyDescent="0.3">
      <c r="A295" s="271"/>
      <c r="B295" s="118" t="s">
        <v>120</v>
      </c>
      <c r="C295" s="83"/>
      <c r="D295" s="89"/>
      <c r="E295" s="89"/>
      <c r="F295" s="89" t="s">
        <v>371</v>
      </c>
      <c r="G295" s="101">
        <v>240</v>
      </c>
      <c r="H295" s="111" t="s">
        <v>298</v>
      </c>
      <c r="I295" s="111" t="s">
        <v>338</v>
      </c>
      <c r="J295" s="99">
        <v>800</v>
      </c>
      <c r="K295" s="99"/>
      <c r="L295" s="99">
        <v>667</v>
      </c>
      <c r="M295" s="263">
        <v>733</v>
      </c>
      <c r="N295" s="253">
        <f>440+148.597+138.072</f>
        <v>726.66899999999998</v>
      </c>
      <c r="O295" s="142">
        <v>500</v>
      </c>
      <c r="P295" s="109">
        <v>600</v>
      </c>
      <c r="Q295" s="254">
        <v>460</v>
      </c>
      <c r="R295" s="255">
        <v>520</v>
      </c>
      <c r="S295" s="73"/>
      <c r="T295" s="73"/>
      <c r="U295" s="73"/>
      <c r="V295" s="73"/>
      <c r="W295" s="73"/>
      <c r="X295" s="73"/>
    </row>
    <row r="296" spans="1:256" ht="39" x14ac:dyDescent="0.25">
      <c r="A296" s="308">
        <v>6</v>
      </c>
      <c r="B296" s="309" t="s">
        <v>372</v>
      </c>
      <c r="C296" s="310"/>
      <c r="D296" s="311" t="s">
        <v>149</v>
      </c>
      <c r="E296" s="310" t="s">
        <v>169</v>
      </c>
      <c r="F296" s="310" t="s">
        <v>373</v>
      </c>
      <c r="G296" s="312"/>
      <c r="H296" s="312"/>
      <c r="I296" s="310"/>
      <c r="J296" s="313">
        <f>J297</f>
        <v>3497.6120000000001</v>
      </c>
      <c r="K296" s="314"/>
      <c r="L296" s="313">
        <f>L298</f>
        <v>4000</v>
      </c>
      <c r="M296" s="315">
        <f>M298</f>
        <v>0</v>
      </c>
      <c r="N296" s="316">
        <f t="shared" ref="N296:R298" si="97">N297</f>
        <v>1225</v>
      </c>
      <c r="O296" s="317">
        <f t="shared" si="97"/>
        <v>48</v>
      </c>
      <c r="P296" s="317">
        <f t="shared" si="97"/>
        <v>816.12</v>
      </c>
      <c r="Q296" s="318">
        <f t="shared" si="97"/>
        <v>4981.808</v>
      </c>
      <c r="R296" s="319">
        <f>R297+R304</f>
        <v>5243</v>
      </c>
    </row>
    <row r="297" spans="1:256" s="10" customFormat="1" ht="31.15" customHeight="1" x14ac:dyDescent="0.25">
      <c r="A297" s="320"/>
      <c r="B297" s="267" t="s">
        <v>374</v>
      </c>
      <c r="C297" s="267"/>
      <c r="D297" s="267"/>
      <c r="E297" s="267"/>
      <c r="F297" s="111" t="s">
        <v>375</v>
      </c>
      <c r="G297" s="267"/>
      <c r="H297" s="267"/>
      <c r="I297" s="267"/>
      <c r="J297" s="321">
        <f>J298</f>
        <v>3497.6120000000001</v>
      </c>
      <c r="K297" s="267"/>
      <c r="L297" s="267"/>
      <c r="M297" s="322"/>
      <c r="N297" s="279">
        <f>N298+N304</f>
        <v>1225</v>
      </c>
      <c r="O297" s="323">
        <f t="shared" si="97"/>
        <v>48</v>
      </c>
      <c r="P297" s="324">
        <f t="shared" si="97"/>
        <v>816.12</v>
      </c>
      <c r="Q297" s="325">
        <f t="shared" si="97"/>
        <v>4981.808</v>
      </c>
      <c r="R297" s="326">
        <f t="shared" si="97"/>
        <v>3543</v>
      </c>
      <c r="S297" s="327"/>
      <c r="T297" s="327"/>
      <c r="U297" s="327"/>
      <c r="V297" s="327"/>
      <c r="W297" s="327"/>
      <c r="X297" s="327"/>
      <c r="Y297" s="327"/>
      <c r="Z297" s="327"/>
      <c r="AA297" s="327"/>
      <c r="AB297" s="327"/>
      <c r="AC297" s="327"/>
      <c r="AD297" s="327"/>
      <c r="AE297" s="327"/>
      <c r="AF297" s="327"/>
      <c r="AG297" s="327"/>
      <c r="AH297" s="327"/>
      <c r="AI297" s="327"/>
      <c r="AJ297" s="327"/>
      <c r="AK297" s="327"/>
      <c r="AL297" s="327"/>
      <c r="AM297" s="327"/>
      <c r="AN297" s="327"/>
      <c r="AO297" s="327"/>
      <c r="AP297" s="327"/>
      <c r="AQ297" s="327"/>
      <c r="AR297" s="327"/>
      <c r="AS297" s="327"/>
      <c r="AT297" s="327"/>
      <c r="AU297" s="327"/>
      <c r="AV297" s="327"/>
      <c r="AW297" s="327"/>
      <c r="AX297" s="327"/>
      <c r="AY297" s="327"/>
      <c r="AZ297" s="327"/>
      <c r="BA297" s="327"/>
      <c r="BB297" s="327"/>
      <c r="BC297" s="327"/>
      <c r="BD297" s="327"/>
      <c r="BE297" s="327"/>
      <c r="BF297" s="327"/>
      <c r="BG297" s="327"/>
      <c r="BH297" s="327"/>
      <c r="BI297" s="327"/>
      <c r="BJ297" s="327"/>
      <c r="BK297" s="327"/>
      <c r="BL297" s="327"/>
      <c r="BM297" s="327"/>
      <c r="BN297" s="327"/>
      <c r="BO297" s="327"/>
      <c r="BP297" s="327"/>
      <c r="BQ297" s="327"/>
      <c r="BR297" s="327"/>
      <c r="BS297" s="327"/>
      <c r="BT297" s="327"/>
      <c r="BU297" s="327"/>
      <c r="BV297" s="327"/>
      <c r="BW297" s="327"/>
      <c r="BX297" s="327"/>
      <c r="BY297" s="327"/>
      <c r="BZ297" s="327"/>
      <c r="CA297" s="327"/>
      <c r="CB297" s="327"/>
      <c r="CC297" s="327"/>
      <c r="CD297" s="327"/>
      <c r="CE297" s="327"/>
      <c r="CF297" s="327"/>
      <c r="CG297" s="327"/>
      <c r="CH297" s="327"/>
      <c r="CI297" s="327"/>
      <c r="CJ297" s="327"/>
      <c r="CK297" s="327"/>
      <c r="CL297" s="327"/>
      <c r="CM297" s="327"/>
      <c r="CN297" s="327"/>
      <c r="CO297" s="327"/>
      <c r="CP297" s="327"/>
      <c r="CQ297" s="327"/>
      <c r="CR297" s="327"/>
      <c r="CS297" s="327"/>
      <c r="CT297" s="327"/>
      <c r="CU297" s="327"/>
      <c r="CV297" s="327"/>
      <c r="CW297" s="327"/>
      <c r="CX297" s="327"/>
      <c r="CY297" s="327"/>
      <c r="CZ297" s="327"/>
      <c r="DA297" s="327"/>
      <c r="DB297" s="327"/>
      <c r="DC297" s="327"/>
      <c r="DD297" s="327"/>
      <c r="DE297" s="327"/>
      <c r="DF297" s="327"/>
      <c r="DG297" s="327"/>
      <c r="DH297" s="327"/>
      <c r="DI297" s="327"/>
      <c r="DJ297" s="327"/>
      <c r="DK297" s="327"/>
      <c r="DL297" s="327"/>
      <c r="DM297" s="327"/>
      <c r="DN297" s="327"/>
      <c r="DO297" s="327"/>
      <c r="DP297" s="327"/>
      <c r="DQ297" s="327"/>
      <c r="DR297" s="327"/>
      <c r="DS297" s="327"/>
      <c r="DT297" s="327"/>
      <c r="DU297" s="327"/>
      <c r="DV297" s="327"/>
      <c r="DW297" s="327"/>
      <c r="DX297" s="327"/>
      <c r="DY297" s="327"/>
      <c r="DZ297" s="327"/>
      <c r="EA297" s="327"/>
      <c r="EB297" s="327"/>
      <c r="EC297" s="327"/>
      <c r="ED297" s="327"/>
      <c r="EE297" s="327"/>
      <c r="EF297" s="327"/>
      <c r="EG297" s="327"/>
      <c r="EH297" s="327"/>
      <c r="EI297" s="327"/>
      <c r="EJ297" s="327"/>
      <c r="EK297" s="327"/>
      <c r="EL297" s="327"/>
      <c r="EM297" s="327"/>
      <c r="EN297" s="327"/>
      <c r="EO297" s="327"/>
      <c r="EP297" s="327"/>
      <c r="EQ297" s="327"/>
      <c r="ER297" s="327"/>
      <c r="ES297" s="327"/>
      <c r="ET297" s="327"/>
      <c r="EU297" s="327"/>
      <c r="EV297" s="327"/>
      <c r="EW297" s="327"/>
      <c r="EX297" s="327"/>
      <c r="EY297" s="327"/>
      <c r="EZ297" s="327"/>
      <c r="FA297" s="327"/>
      <c r="FB297" s="327"/>
      <c r="FC297" s="327"/>
      <c r="FD297" s="327"/>
      <c r="FE297" s="327"/>
      <c r="FF297" s="327"/>
      <c r="FG297" s="327"/>
      <c r="FH297" s="327"/>
      <c r="FI297" s="327"/>
      <c r="FJ297" s="327"/>
      <c r="FK297" s="327"/>
      <c r="FL297" s="327"/>
      <c r="FM297" s="327"/>
      <c r="FN297" s="327"/>
      <c r="FO297" s="327"/>
      <c r="FP297" s="327"/>
      <c r="FQ297" s="327"/>
      <c r="FR297" s="327"/>
      <c r="FS297" s="327"/>
      <c r="FT297" s="327"/>
      <c r="FU297" s="327"/>
      <c r="FV297" s="327"/>
      <c r="FW297" s="327"/>
      <c r="FX297" s="327"/>
      <c r="FY297" s="327"/>
      <c r="FZ297" s="327"/>
      <c r="GA297" s="327"/>
      <c r="GB297" s="327"/>
      <c r="GC297" s="327"/>
      <c r="GD297" s="327"/>
      <c r="GE297" s="327"/>
      <c r="GF297" s="327"/>
      <c r="GG297" s="327"/>
      <c r="GH297" s="327"/>
      <c r="GI297" s="327"/>
      <c r="GJ297" s="327"/>
      <c r="GK297" s="327"/>
      <c r="GL297" s="327"/>
      <c r="GM297" s="327"/>
      <c r="GN297" s="327"/>
      <c r="GO297" s="327"/>
      <c r="GP297" s="327"/>
      <c r="GQ297" s="327"/>
      <c r="GR297" s="327"/>
      <c r="GS297" s="327"/>
      <c r="GT297" s="327"/>
      <c r="GU297" s="327"/>
      <c r="GV297" s="327"/>
      <c r="GW297" s="327"/>
      <c r="GX297" s="327"/>
      <c r="GY297" s="327"/>
      <c r="GZ297" s="327"/>
      <c r="HA297" s="327"/>
      <c r="HB297" s="327"/>
      <c r="HC297" s="327"/>
      <c r="HD297" s="327"/>
      <c r="HE297" s="327"/>
      <c r="HF297" s="327"/>
      <c r="HG297" s="327"/>
      <c r="HH297" s="327"/>
      <c r="HI297" s="327"/>
      <c r="HJ297" s="327"/>
      <c r="HK297" s="327"/>
      <c r="HL297" s="327"/>
      <c r="HM297" s="327"/>
      <c r="HN297" s="327"/>
      <c r="HO297" s="327"/>
      <c r="HP297" s="327"/>
      <c r="HQ297" s="327"/>
      <c r="HR297" s="327"/>
      <c r="HS297" s="327"/>
      <c r="HT297" s="327"/>
      <c r="HU297" s="327"/>
      <c r="HV297" s="327"/>
      <c r="HW297" s="327"/>
      <c r="HX297" s="327"/>
      <c r="HY297" s="327"/>
      <c r="HZ297" s="327"/>
      <c r="IA297" s="327"/>
      <c r="IB297" s="327"/>
      <c r="IC297" s="327"/>
      <c r="ID297" s="327"/>
      <c r="IE297" s="327"/>
      <c r="IF297" s="327"/>
      <c r="IG297" s="327"/>
      <c r="IH297" s="327"/>
      <c r="II297" s="327"/>
      <c r="IJ297" s="327"/>
      <c r="IK297" s="327"/>
      <c r="IL297" s="327"/>
      <c r="IM297" s="327"/>
      <c r="IN297" s="327"/>
      <c r="IO297" s="327"/>
      <c r="IP297" s="327"/>
      <c r="IQ297" s="327"/>
      <c r="IR297" s="327"/>
      <c r="IS297" s="327"/>
      <c r="IT297" s="327"/>
      <c r="IU297" s="327"/>
      <c r="IV297" s="327"/>
    </row>
    <row r="298" spans="1:256" ht="26" x14ac:dyDescent="0.25">
      <c r="A298" s="328"/>
      <c r="B298" s="329" t="s">
        <v>376</v>
      </c>
      <c r="C298" s="330"/>
      <c r="D298" s="331" t="s">
        <v>149</v>
      </c>
      <c r="E298" s="330" t="s">
        <v>169</v>
      </c>
      <c r="F298" s="330" t="s">
        <v>377</v>
      </c>
      <c r="G298" s="330"/>
      <c r="H298" s="330"/>
      <c r="I298" s="330"/>
      <c r="J298" s="332">
        <f>J299</f>
        <v>3497.6120000000001</v>
      </c>
      <c r="K298" s="333"/>
      <c r="L298" s="333">
        <f>L299</f>
        <v>4000</v>
      </c>
      <c r="M298" s="334">
        <f>M299</f>
        <v>0</v>
      </c>
      <c r="N298" s="335">
        <f t="shared" si="97"/>
        <v>1225</v>
      </c>
      <c r="O298" s="336">
        <f t="shared" si="97"/>
        <v>48</v>
      </c>
      <c r="P298" s="337">
        <f t="shared" si="97"/>
        <v>816.12</v>
      </c>
      <c r="Q298" s="338">
        <f t="shared" si="97"/>
        <v>4981.808</v>
      </c>
      <c r="R298" s="339">
        <f t="shared" si="97"/>
        <v>3543</v>
      </c>
    </row>
    <row r="299" spans="1:256" ht="13" x14ac:dyDescent="0.25">
      <c r="A299" s="229"/>
      <c r="B299" s="162" t="s">
        <v>378</v>
      </c>
      <c r="C299" s="111"/>
      <c r="D299" s="101" t="s">
        <v>149</v>
      </c>
      <c r="E299" s="111" t="s">
        <v>169</v>
      </c>
      <c r="F299" s="111" t="s">
        <v>377</v>
      </c>
      <c r="G299" s="111" t="s">
        <v>379</v>
      </c>
      <c r="H299" s="111"/>
      <c r="I299" s="111"/>
      <c r="J299" s="95">
        <f>J301</f>
        <v>3497.6120000000001</v>
      </c>
      <c r="K299" s="176"/>
      <c r="L299" s="107">
        <v>4000</v>
      </c>
      <c r="M299" s="264"/>
      <c r="N299" s="253">
        <f>N301</f>
        <v>1225</v>
      </c>
      <c r="O299" s="142">
        <f>O301</f>
        <v>48</v>
      </c>
      <c r="P299" s="109">
        <f>P301</f>
        <v>816.12</v>
      </c>
      <c r="Q299" s="254">
        <f>Q301</f>
        <v>4981.808</v>
      </c>
      <c r="R299" s="255">
        <f>R301</f>
        <v>3543</v>
      </c>
    </row>
    <row r="300" spans="1:256" ht="52" hidden="1" x14ac:dyDescent="0.25">
      <c r="A300" s="229"/>
      <c r="B300" s="162" t="s">
        <v>176</v>
      </c>
      <c r="C300" s="111"/>
      <c r="D300" s="101" t="s">
        <v>149</v>
      </c>
      <c r="E300" s="111" t="s">
        <v>169</v>
      </c>
      <c r="F300" s="111" t="s">
        <v>377</v>
      </c>
      <c r="G300" s="111"/>
      <c r="H300" s="111"/>
      <c r="I300" s="111" t="s">
        <v>169</v>
      </c>
      <c r="J300" s="103"/>
      <c r="K300" s="103"/>
      <c r="L300" s="103"/>
      <c r="M300" s="264"/>
      <c r="N300" s="248"/>
      <c r="O300" s="265"/>
      <c r="P300" s="105"/>
      <c r="Q300" s="266"/>
      <c r="R300" s="251"/>
    </row>
    <row r="301" spans="1:256" ht="13" x14ac:dyDescent="0.25">
      <c r="A301" s="229"/>
      <c r="B301" s="162" t="s">
        <v>168</v>
      </c>
      <c r="C301" s="111"/>
      <c r="D301" s="101"/>
      <c r="E301" s="111"/>
      <c r="F301" s="111" t="s">
        <v>377</v>
      </c>
      <c r="G301" s="111" t="s">
        <v>379</v>
      </c>
      <c r="H301" s="111" t="s">
        <v>285</v>
      </c>
      <c r="I301" s="111" t="s">
        <v>380</v>
      </c>
      <c r="J301" s="95">
        <v>3497.6120000000001</v>
      </c>
      <c r="K301" s="103"/>
      <c r="L301" s="103"/>
      <c r="M301" s="264"/>
      <c r="N301" s="253">
        <f>3500.703-1300-5-218.134-500-252.569</f>
        <v>1225</v>
      </c>
      <c r="O301" s="142">
        <v>48</v>
      </c>
      <c r="P301" s="109">
        <v>816.12</v>
      </c>
      <c r="Q301" s="254">
        <v>4981.808</v>
      </c>
      <c r="R301" s="255">
        <f>3700-157</f>
        <v>3543</v>
      </c>
    </row>
    <row r="302" spans="1:256" ht="26" x14ac:dyDescent="0.25">
      <c r="A302" s="229"/>
      <c r="B302" s="329" t="s">
        <v>376</v>
      </c>
      <c r="C302" s="111"/>
      <c r="D302" s="101"/>
      <c r="E302" s="111"/>
      <c r="F302" s="340" t="s">
        <v>381</v>
      </c>
      <c r="G302" s="111"/>
      <c r="H302" s="111"/>
      <c r="I302" s="111"/>
      <c r="J302" s="95"/>
      <c r="K302" s="103"/>
      <c r="L302" s="103"/>
      <c r="M302" s="264"/>
      <c r="N302" s="341">
        <f>N303</f>
        <v>0</v>
      </c>
      <c r="O302" s="342"/>
      <c r="P302" s="343"/>
      <c r="Q302" s="306">
        <f>Q303</f>
        <v>0</v>
      </c>
      <c r="R302" s="255">
        <f>R303</f>
        <v>1700</v>
      </c>
    </row>
    <row r="303" spans="1:256" ht="13" x14ac:dyDescent="0.25">
      <c r="A303" s="229"/>
      <c r="B303" s="162" t="s">
        <v>378</v>
      </c>
      <c r="C303" s="111"/>
      <c r="D303" s="101"/>
      <c r="E303" s="111"/>
      <c r="F303" s="340" t="s">
        <v>381</v>
      </c>
      <c r="G303" s="111" t="s">
        <v>379</v>
      </c>
      <c r="H303" s="111"/>
      <c r="I303" s="111"/>
      <c r="J303" s="95"/>
      <c r="K303" s="103"/>
      <c r="L303" s="103"/>
      <c r="M303" s="264"/>
      <c r="N303" s="341">
        <f>N304</f>
        <v>0</v>
      </c>
      <c r="O303" s="342"/>
      <c r="P303" s="343"/>
      <c r="Q303" s="306">
        <f>Q304</f>
        <v>0</v>
      </c>
      <c r="R303" s="255">
        <f>R304</f>
        <v>1700</v>
      </c>
    </row>
    <row r="304" spans="1:256" ht="13" x14ac:dyDescent="0.25">
      <c r="A304" s="229"/>
      <c r="B304" s="162" t="s">
        <v>168</v>
      </c>
      <c r="C304" s="111"/>
      <c r="D304" s="101"/>
      <c r="E304" s="111"/>
      <c r="F304" s="340" t="s">
        <v>381</v>
      </c>
      <c r="G304" s="111" t="s">
        <v>379</v>
      </c>
      <c r="H304" s="111" t="s">
        <v>285</v>
      </c>
      <c r="I304" s="111" t="s">
        <v>380</v>
      </c>
      <c r="J304" s="95"/>
      <c r="K304" s="103"/>
      <c r="L304" s="103"/>
      <c r="M304" s="264"/>
      <c r="N304" s="341">
        <v>0</v>
      </c>
      <c r="O304" s="342"/>
      <c r="P304" s="343"/>
      <c r="Q304" s="306">
        <v>0</v>
      </c>
      <c r="R304" s="255">
        <f>1443+157+95+5</f>
        <v>1700</v>
      </c>
    </row>
    <row r="305" spans="1:256" ht="42" customHeight="1" x14ac:dyDescent="0.25">
      <c r="A305" s="245">
        <v>7</v>
      </c>
      <c r="B305" s="177" t="s">
        <v>382</v>
      </c>
      <c r="C305" s="111"/>
      <c r="D305" s="110" t="s">
        <v>149</v>
      </c>
      <c r="E305" s="110" t="s">
        <v>193</v>
      </c>
      <c r="F305" s="110" t="s">
        <v>383</v>
      </c>
      <c r="G305" s="132"/>
      <c r="H305" s="132"/>
      <c r="I305" s="110"/>
      <c r="J305" s="133">
        <f>J306</f>
        <v>7617.2000000000007</v>
      </c>
      <c r="K305" s="132"/>
      <c r="L305" s="133">
        <f>L307+L310</f>
        <v>7617.2</v>
      </c>
      <c r="M305" s="344">
        <f>M307+M310</f>
        <v>7463.8</v>
      </c>
      <c r="N305" s="248">
        <f>N306</f>
        <v>36125.169000000002</v>
      </c>
      <c r="O305" s="180">
        <f>O306</f>
        <v>32518.875</v>
      </c>
      <c r="P305" s="134">
        <f>P306</f>
        <v>31004.17</v>
      </c>
      <c r="Q305" s="269">
        <f>Q306</f>
        <v>33058.639999999999</v>
      </c>
      <c r="R305" s="270">
        <f>R306</f>
        <v>34696.880000000005</v>
      </c>
    </row>
    <row r="306" spans="1:256" ht="56.5" customHeight="1" x14ac:dyDescent="0.25">
      <c r="A306" s="245"/>
      <c r="B306" s="303" t="s">
        <v>384</v>
      </c>
      <c r="C306" s="111"/>
      <c r="D306" s="110"/>
      <c r="E306" s="110"/>
      <c r="F306" s="111" t="s">
        <v>385</v>
      </c>
      <c r="G306" s="132"/>
      <c r="H306" s="132"/>
      <c r="I306" s="110"/>
      <c r="J306" s="158">
        <f>J307+J310</f>
        <v>7617.2000000000007</v>
      </c>
      <c r="K306" s="132"/>
      <c r="L306" s="133"/>
      <c r="M306" s="344"/>
      <c r="N306" s="253">
        <f>N307+N310</f>
        <v>36125.169000000002</v>
      </c>
      <c r="O306" s="345">
        <f>O307+O310</f>
        <v>32518.875</v>
      </c>
      <c r="P306" s="160">
        <f>P307+P310</f>
        <v>31004.17</v>
      </c>
      <c r="Q306" s="346">
        <f>Q307+Q310</f>
        <v>33058.639999999999</v>
      </c>
      <c r="R306" s="347">
        <f>R307+R310</f>
        <v>34696.880000000005</v>
      </c>
    </row>
    <row r="307" spans="1:256" ht="39" x14ac:dyDescent="0.25">
      <c r="A307" s="229"/>
      <c r="B307" s="106" t="s">
        <v>386</v>
      </c>
      <c r="C307" s="111"/>
      <c r="D307" s="110" t="s">
        <v>149</v>
      </c>
      <c r="E307" s="110" t="s">
        <v>193</v>
      </c>
      <c r="F307" s="111" t="s">
        <v>387</v>
      </c>
      <c r="G307" s="111"/>
      <c r="H307" s="111"/>
      <c r="I307" s="110"/>
      <c r="J307" s="95">
        <f>J308</f>
        <v>5253.4660000000003</v>
      </c>
      <c r="K307" s="103"/>
      <c r="L307" s="103">
        <f t="shared" ref="L307:R307" si="98">L308</f>
        <v>5406.2</v>
      </c>
      <c r="M307" s="264">
        <f t="shared" si="98"/>
        <v>5230.3</v>
      </c>
      <c r="N307" s="253">
        <f t="shared" si="98"/>
        <v>4463.3369999999995</v>
      </c>
      <c r="O307" s="142">
        <f t="shared" si="98"/>
        <v>10043.379999999999</v>
      </c>
      <c r="P307" s="109">
        <f t="shared" si="98"/>
        <v>6288.7259999999997</v>
      </c>
      <c r="Q307" s="254">
        <f t="shared" si="98"/>
        <v>2500</v>
      </c>
      <c r="R307" s="255">
        <f t="shared" si="98"/>
        <v>2800</v>
      </c>
    </row>
    <row r="308" spans="1:256" ht="25.15" customHeight="1" x14ac:dyDescent="0.25">
      <c r="A308" s="229"/>
      <c r="B308" s="262" t="s">
        <v>283</v>
      </c>
      <c r="C308" s="111"/>
      <c r="D308" s="111" t="s">
        <v>149</v>
      </c>
      <c r="E308" s="111" t="s">
        <v>193</v>
      </c>
      <c r="F308" s="111" t="s">
        <v>387</v>
      </c>
      <c r="G308" s="111" t="s">
        <v>65</v>
      </c>
      <c r="H308" s="111"/>
      <c r="I308" s="111"/>
      <c r="J308" s="95">
        <f>J309</f>
        <v>5253.4660000000003</v>
      </c>
      <c r="K308" s="103"/>
      <c r="L308" s="95">
        <v>5406.2</v>
      </c>
      <c r="M308" s="252">
        <v>5230.3</v>
      </c>
      <c r="N308" s="253">
        <f>N309</f>
        <v>4463.3369999999995</v>
      </c>
      <c r="O308" s="142">
        <f>O309</f>
        <v>10043.379999999999</v>
      </c>
      <c r="P308" s="109">
        <f>P309</f>
        <v>6288.7259999999997</v>
      </c>
      <c r="Q308" s="254">
        <f>Q309</f>
        <v>2500</v>
      </c>
      <c r="R308" s="255">
        <f>R309</f>
        <v>2800</v>
      </c>
    </row>
    <row r="309" spans="1:256" ht="13" x14ac:dyDescent="0.3">
      <c r="A309" s="229"/>
      <c r="B309" s="118" t="s">
        <v>192</v>
      </c>
      <c r="C309" s="111"/>
      <c r="D309" s="111"/>
      <c r="E309" s="111"/>
      <c r="F309" s="111" t="s">
        <v>387</v>
      </c>
      <c r="G309" s="111" t="s">
        <v>65</v>
      </c>
      <c r="H309" s="111" t="s">
        <v>285</v>
      </c>
      <c r="I309" s="111" t="s">
        <v>340</v>
      </c>
      <c r="J309" s="95">
        <v>5253.4660000000003</v>
      </c>
      <c r="K309" s="103"/>
      <c r="L309" s="95"/>
      <c r="M309" s="252"/>
      <c r="N309" s="253">
        <f>2300+750+600+14.767+252.659+5+22.257+298+220.654</f>
        <v>4463.3369999999995</v>
      </c>
      <c r="O309" s="142">
        <v>10043.379999999999</v>
      </c>
      <c r="P309" s="109">
        <v>6288.7259999999997</v>
      </c>
      <c r="Q309" s="348">
        <v>2500</v>
      </c>
      <c r="R309" s="349">
        <v>2800</v>
      </c>
    </row>
    <row r="310" spans="1:256" ht="39" x14ac:dyDescent="0.25">
      <c r="A310" s="229"/>
      <c r="B310" s="106" t="s">
        <v>388</v>
      </c>
      <c r="C310" s="111"/>
      <c r="D310" s="110" t="s">
        <v>149</v>
      </c>
      <c r="E310" s="110" t="s">
        <v>193</v>
      </c>
      <c r="F310" s="111" t="s">
        <v>389</v>
      </c>
      <c r="G310" s="111"/>
      <c r="H310" s="111"/>
      <c r="I310" s="110"/>
      <c r="J310" s="95">
        <f>J311</f>
        <v>2363.7339999999999</v>
      </c>
      <c r="K310" s="102"/>
      <c r="L310" s="102">
        <f>L311</f>
        <v>2211</v>
      </c>
      <c r="M310" s="350">
        <f>M311</f>
        <v>2233.5</v>
      </c>
      <c r="N310" s="253">
        <f>N311+N314</f>
        <v>31661.832000000002</v>
      </c>
      <c r="O310" s="142">
        <f>O311</f>
        <v>22475.494999999999</v>
      </c>
      <c r="P310" s="109">
        <f>P311</f>
        <v>24715.444</v>
      </c>
      <c r="Q310" s="254">
        <f>Q311+Q314</f>
        <v>30558.639999999999</v>
      </c>
      <c r="R310" s="255">
        <f>R311+R314</f>
        <v>31896.880000000001</v>
      </c>
    </row>
    <row r="311" spans="1:256" ht="25.15" customHeight="1" x14ac:dyDescent="0.25">
      <c r="A311" s="229"/>
      <c r="B311" s="262" t="s">
        <v>283</v>
      </c>
      <c r="C311" s="111"/>
      <c r="D311" s="111" t="s">
        <v>149</v>
      </c>
      <c r="E311" s="111" t="s">
        <v>193</v>
      </c>
      <c r="F311" s="111" t="s">
        <v>389</v>
      </c>
      <c r="G311" s="111" t="s">
        <v>65</v>
      </c>
      <c r="H311" s="111"/>
      <c r="I311" s="111"/>
      <c r="J311" s="95">
        <f>J313</f>
        <v>2363.7339999999999</v>
      </c>
      <c r="K311" s="102"/>
      <c r="L311" s="102">
        <v>2211</v>
      </c>
      <c r="M311" s="350">
        <v>2233.5</v>
      </c>
      <c r="N311" s="253">
        <f>N313</f>
        <v>31661.832000000002</v>
      </c>
      <c r="O311" s="142">
        <f>O313</f>
        <v>22475.494999999999</v>
      </c>
      <c r="P311" s="109">
        <f>P313</f>
        <v>24715.444</v>
      </c>
      <c r="Q311" s="254">
        <f>Q313</f>
        <v>30558.639999999999</v>
      </c>
      <c r="R311" s="255">
        <f>R313</f>
        <v>31896.880000000001</v>
      </c>
    </row>
    <row r="312" spans="1:256" ht="18.649999999999999" hidden="1" customHeight="1" x14ac:dyDescent="0.3">
      <c r="A312" s="229"/>
      <c r="B312" s="285"/>
      <c r="C312" s="111"/>
      <c r="D312" s="111"/>
      <c r="E312" s="111"/>
      <c r="F312" s="111"/>
      <c r="G312" s="111"/>
      <c r="H312" s="111"/>
      <c r="I312" s="111"/>
      <c r="J312" s="95"/>
      <c r="K312" s="102"/>
      <c r="L312" s="102"/>
      <c r="M312" s="350"/>
      <c r="N312" s="253"/>
      <c r="O312" s="142"/>
      <c r="P312" s="109"/>
      <c r="Q312" s="254"/>
      <c r="R312" s="255"/>
    </row>
    <row r="313" spans="1:256" ht="13" x14ac:dyDescent="0.3">
      <c r="A313" s="229"/>
      <c r="B313" s="118" t="s">
        <v>192</v>
      </c>
      <c r="C313" s="111"/>
      <c r="D313" s="111"/>
      <c r="E313" s="111"/>
      <c r="F313" s="111" t="s">
        <v>389</v>
      </c>
      <c r="G313" s="111" t="s">
        <v>65</v>
      </c>
      <c r="H313" s="111" t="s">
        <v>285</v>
      </c>
      <c r="I313" s="111" t="s">
        <v>340</v>
      </c>
      <c r="J313" s="95">
        <v>2363.7339999999999</v>
      </c>
      <c r="K313" s="102"/>
      <c r="L313" s="102"/>
      <c r="M313" s="350"/>
      <c r="N313" s="253">
        <f>29128.5+999.1+74.074+506.674+1044.704+150-220.654-118.832-62.423+62.426+193.368-72.125-22.98</f>
        <v>31661.832000000002</v>
      </c>
      <c r="O313" s="142">
        <v>22475.494999999999</v>
      </c>
      <c r="P313" s="109">
        <v>24715.444</v>
      </c>
      <c r="Q313" s="254">
        <v>30558.639999999999</v>
      </c>
      <c r="R313" s="255">
        <v>31896.880000000001</v>
      </c>
    </row>
    <row r="314" spans="1:256" s="10" customFormat="1" ht="39" hidden="1" x14ac:dyDescent="0.25">
      <c r="A314" s="229"/>
      <c r="B314" s="351" t="s">
        <v>390</v>
      </c>
      <c r="C314" s="111"/>
      <c r="D314" s="111"/>
      <c r="E314" s="111"/>
      <c r="F314" s="111" t="s">
        <v>389</v>
      </c>
      <c r="G314" s="111" t="s">
        <v>391</v>
      </c>
      <c r="H314" s="111"/>
      <c r="I314" s="111"/>
      <c r="J314" s="95"/>
      <c r="K314" s="102"/>
      <c r="L314" s="102"/>
      <c r="M314" s="350"/>
      <c r="N314" s="253">
        <f>N315</f>
        <v>0</v>
      </c>
      <c r="O314" s="142"/>
      <c r="P314" s="109"/>
      <c r="Q314" s="254">
        <f>Q315</f>
        <v>0</v>
      </c>
      <c r="R314" s="255">
        <f>R315</f>
        <v>0</v>
      </c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s="10" customFormat="1" ht="13" hidden="1" x14ac:dyDescent="0.3">
      <c r="A315" s="229"/>
      <c r="B315" s="118" t="s">
        <v>192</v>
      </c>
      <c r="C315" s="111"/>
      <c r="D315" s="111"/>
      <c r="E315" s="111"/>
      <c r="F315" s="111" t="s">
        <v>389</v>
      </c>
      <c r="G315" s="111" t="s">
        <v>391</v>
      </c>
      <c r="H315" s="111" t="s">
        <v>285</v>
      </c>
      <c r="I315" s="111" t="s">
        <v>340</v>
      </c>
      <c r="J315" s="95"/>
      <c r="K315" s="102"/>
      <c r="L315" s="102"/>
      <c r="M315" s="350"/>
      <c r="N315" s="253">
        <v>0</v>
      </c>
      <c r="O315" s="142"/>
      <c r="P315" s="109"/>
      <c r="Q315" s="254">
        <v>0</v>
      </c>
      <c r="R315" s="255">
        <v>0</v>
      </c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s="10" customFormat="1" ht="13" hidden="1" x14ac:dyDescent="0.3">
      <c r="A316" s="229"/>
      <c r="B316" s="118"/>
      <c r="C316" s="111"/>
      <c r="D316" s="111"/>
      <c r="E316" s="111"/>
      <c r="F316" s="111"/>
      <c r="G316" s="111"/>
      <c r="H316" s="111"/>
      <c r="I316" s="111"/>
      <c r="J316" s="95"/>
      <c r="K316" s="102"/>
      <c r="L316" s="102"/>
      <c r="M316" s="350"/>
      <c r="N316" s="253"/>
      <c r="O316" s="142"/>
      <c r="P316" s="109"/>
      <c r="Q316" s="254"/>
      <c r="R316" s="255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s="10" customFormat="1" ht="65" x14ac:dyDescent="0.25">
      <c r="A317" s="245">
        <v>8</v>
      </c>
      <c r="B317" s="352" t="s">
        <v>392</v>
      </c>
      <c r="C317" s="111"/>
      <c r="D317" s="111"/>
      <c r="E317" s="111"/>
      <c r="F317" s="110" t="s">
        <v>393</v>
      </c>
      <c r="G317" s="111"/>
      <c r="H317" s="111"/>
      <c r="I317" s="111"/>
      <c r="J317" s="95"/>
      <c r="K317" s="102"/>
      <c r="L317" s="102"/>
      <c r="M317" s="350"/>
      <c r="N317" s="248">
        <f>N323+N327+N321</f>
        <v>8677.2970000000005</v>
      </c>
      <c r="O317" s="265">
        <f>O318</f>
        <v>3670.8</v>
      </c>
      <c r="P317" s="105">
        <f>P318</f>
        <v>4037.88</v>
      </c>
      <c r="Q317" s="266">
        <f>Q318</f>
        <v>3608.5</v>
      </c>
      <c r="R317" s="251">
        <f>R318</f>
        <v>3275.5</v>
      </c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s="10" customFormat="1" ht="39" x14ac:dyDescent="0.25">
      <c r="A318" s="229"/>
      <c r="B318" s="272" t="s">
        <v>394</v>
      </c>
      <c r="C318" s="111"/>
      <c r="D318" s="111"/>
      <c r="E318" s="111"/>
      <c r="F318" s="111" t="s">
        <v>395</v>
      </c>
      <c r="G318" s="111"/>
      <c r="H318" s="111"/>
      <c r="I318" s="111"/>
      <c r="J318" s="95"/>
      <c r="K318" s="102"/>
      <c r="L318" s="102"/>
      <c r="M318" s="350"/>
      <c r="N318" s="253">
        <f>N319</f>
        <v>390.68</v>
      </c>
      <c r="O318" s="142">
        <f>O325+O319</f>
        <v>3670.8</v>
      </c>
      <c r="P318" s="109">
        <f>P325+P319</f>
        <v>4037.88</v>
      </c>
      <c r="Q318" s="254">
        <f>Q325+Q319</f>
        <v>3608.5</v>
      </c>
      <c r="R318" s="255">
        <f>R325+R319</f>
        <v>3275.5</v>
      </c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s="10" customFormat="1" ht="39" x14ac:dyDescent="0.25">
      <c r="A319" s="229"/>
      <c r="B319" s="303" t="s">
        <v>184</v>
      </c>
      <c r="C319" s="111"/>
      <c r="D319" s="111"/>
      <c r="E319" s="111"/>
      <c r="F319" s="111" t="s">
        <v>396</v>
      </c>
      <c r="G319" s="111"/>
      <c r="H319" s="111"/>
      <c r="I319" s="111"/>
      <c r="J319" s="95"/>
      <c r="K319" s="102"/>
      <c r="L319" s="102"/>
      <c r="M319" s="350"/>
      <c r="N319" s="253">
        <f>N322+N320</f>
        <v>390.68</v>
      </c>
      <c r="O319" s="142">
        <f t="shared" ref="O319:R319" si="99">O322</f>
        <v>3268.201</v>
      </c>
      <c r="P319" s="109">
        <f t="shared" si="99"/>
        <v>3595.0210000000002</v>
      </c>
      <c r="Q319" s="254">
        <f t="shared" si="99"/>
        <v>3608.5</v>
      </c>
      <c r="R319" s="255">
        <f t="shared" si="99"/>
        <v>3275.5</v>
      </c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s="10" customFormat="1" ht="26" x14ac:dyDescent="0.25">
      <c r="A320" s="229"/>
      <c r="B320" s="353" t="s">
        <v>397</v>
      </c>
      <c r="C320" s="111"/>
      <c r="D320" s="111"/>
      <c r="E320" s="111"/>
      <c r="F320" s="111" t="s">
        <v>396</v>
      </c>
      <c r="G320" s="111" t="s">
        <v>65</v>
      </c>
      <c r="H320" s="111"/>
      <c r="I320" s="111"/>
      <c r="J320" s="95"/>
      <c r="K320" s="102"/>
      <c r="L320" s="102"/>
      <c r="M320" s="350"/>
      <c r="N320" s="253">
        <f>N321</f>
        <v>390.68</v>
      </c>
      <c r="O320" s="142"/>
      <c r="P320" s="109"/>
      <c r="Q320" s="306">
        <f>Q321</f>
        <v>0</v>
      </c>
      <c r="R320" s="307">
        <f>R321</f>
        <v>0</v>
      </c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s="10" customFormat="1" ht="13" x14ac:dyDescent="0.3">
      <c r="A321" s="229"/>
      <c r="B321" s="118" t="s">
        <v>168</v>
      </c>
      <c r="C321" s="111"/>
      <c r="D321" s="111"/>
      <c r="E321" s="111"/>
      <c r="F321" s="111" t="s">
        <v>396</v>
      </c>
      <c r="G321" s="111" t="s">
        <v>65</v>
      </c>
      <c r="H321" s="111" t="s">
        <v>285</v>
      </c>
      <c r="I321" s="111" t="s">
        <v>380</v>
      </c>
      <c r="J321" s="95"/>
      <c r="K321" s="102"/>
      <c r="L321" s="102"/>
      <c r="M321" s="350"/>
      <c r="N321" s="253">
        <f>75.7+123.294+60.6+19.106+89+22.98</f>
        <v>390.68</v>
      </c>
      <c r="O321" s="142"/>
      <c r="P321" s="109"/>
      <c r="Q321" s="306">
        <v>0</v>
      </c>
      <c r="R321" s="307">
        <v>0</v>
      </c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s="10" customFormat="1" ht="13" x14ac:dyDescent="0.25">
      <c r="A322" s="229"/>
      <c r="B322" s="353" t="s">
        <v>398</v>
      </c>
      <c r="C322" s="111"/>
      <c r="D322" s="111"/>
      <c r="E322" s="111"/>
      <c r="F322" s="111" t="s">
        <v>396</v>
      </c>
      <c r="G322" s="111" t="s">
        <v>379</v>
      </c>
      <c r="H322" s="111"/>
      <c r="I322" s="111"/>
      <c r="J322" s="95"/>
      <c r="K322" s="102"/>
      <c r="L322" s="102"/>
      <c r="M322" s="350"/>
      <c r="N322" s="354">
        <f>N323</f>
        <v>0</v>
      </c>
      <c r="O322" s="142">
        <f>O323</f>
        <v>3268.201</v>
      </c>
      <c r="P322" s="109">
        <f>P323</f>
        <v>3595.0210000000002</v>
      </c>
      <c r="Q322" s="254">
        <f>Q323</f>
        <v>3608.5</v>
      </c>
      <c r="R322" s="255">
        <f>R323</f>
        <v>3275.5</v>
      </c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s="10" customFormat="1" ht="13" x14ac:dyDescent="0.3">
      <c r="A323" s="229"/>
      <c r="B323" s="118" t="s">
        <v>168</v>
      </c>
      <c r="C323" s="111"/>
      <c r="D323" s="111"/>
      <c r="E323" s="111"/>
      <c r="F323" s="111" t="s">
        <v>396</v>
      </c>
      <c r="G323" s="111" t="s">
        <v>379</v>
      </c>
      <c r="H323" s="111" t="s">
        <v>285</v>
      </c>
      <c r="I323" s="111" t="s">
        <v>380</v>
      </c>
      <c r="J323" s="95"/>
      <c r="K323" s="102"/>
      <c r="L323" s="102"/>
      <c r="M323" s="350"/>
      <c r="N323" s="354">
        <v>0</v>
      </c>
      <c r="O323" s="142">
        <v>3268.201</v>
      </c>
      <c r="P323" s="109">
        <v>3595.0210000000002</v>
      </c>
      <c r="Q323" s="254">
        <v>3608.5</v>
      </c>
      <c r="R323" s="255">
        <v>3275.5</v>
      </c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s="10" customFormat="1" ht="25" customHeight="1" x14ac:dyDescent="0.25">
      <c r="A324" s="229"/>
      <c r="B324" s="355" t="s">
        <v>399</v>
      </c>
      <c r="C324" s="111"/>
      <c r="D324" s="111"/>
      <c r="E324" s="111"/>
      <c r="F324" s="111" t="s">
        <v>400</v>
      </c>
      <c r="G324" s="111"/>
      <c r="H324" s="111"/>
      <c r="I324" s="111"/>
      <c r="J324" s="95"/>
      <c r="K324" s="102"/>
      <c r="L324" s="102"/>
      <c r="M324" s="350"/>
      <c r="N324" s="253">
        <f>N325</f>
        <v>8286.6170000000002</v>
      </c>
      <c r="O324" s="142"/>
      <c r="P324" s="109"/>
      <c r="Q324" s="306">
        <f>Q325</f>
        <v>0</v>
      </c>
      <c r="R324" s="307">
        <f>R325</f>
        <v>0</v>
      </c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s="10" customFormat="1" ht="26" x14ac:dyDescent="0.25">
      <c r="A325" s="229"/>
      <c r="B325" s="356" t="s">
        <v>401</v>
      </c>
      <c r="C325" s="111"/>
      <c r="D325" s="111"/>
      <c r="E325" s="111"/>
      <c r="F325" s="111" t="s">
        <v>402</v>
      </c>
      <c r="G325" s="111"/>
      <c r="H325" s="111"/>
      <c r="I325" s="111"/>
      <c r="J325" s="95"/>
      <c r="K325" s="102"/>
      <c r="L325" s="102"/>
      <c r="M325" s="350"/>
      <c r="N325" s="253">
        <f t="shared" ref="N325:R326" si="100">N326</f>
        <v>8286.6170000000002</v>
      </c>
      <c r="O325" s="142">
        <f t="shared" si="100"/>
        <v>402.59899999999999</v>
      </c>
      <c r="P325" s="109">
        <f t="shared" si="100"/>
        <v>442.85899999999998</v>
      </c>
      <c r="Q325" s="306">
        <f t="shared" si="100"/>
        <v>0</v>
      </c>
      <c r="R325" s="307">
        <f t="shared" si="100"/>
        <v>0</v>
      </c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s="10" customFormat="1" ht="26" x14ac:dyDescent="0.25">
      <c r="A326" s="229"/>
      <c r="B326" s="353" t="s">
        <v>403</v>
      </c>
      <c r="C326" s="111"/>
      <c r="D326" s="111"/>
      <c r="E326" s="111"/>
      <c r="F326" s="111" t="s">
        <v>402</v>
      </c>
      <c r="G326" s="111" t="s">
        <v>391</v>
      </c>
      <c r="H326" s="111"/>
      <c r="I326" s="111"/>
      <c r="J326" s="95"/>
      <c r="K326" s="102"/>
      <c r="L326" s="102"/>
      <c r="M326" s="350"/>
      <c r="N326" s="253">
        <f>N327</f>
        <v>8286.6170000000002</v>
      </c>
      <c r="O326" s="142">
        <f t="shared" si="100"/>
        <v>402.59899999999999</v>
      </c>
      <c r="P326" s="109">
        <f t="shared" si="100"/>
        <v>442.85899999999998</v>
      </c>
      <c r="Q326" s="306">
        <f t="shared" si="100"/>
        <v>0</v>
      </c>
      <c r="R326" s="307">
        <f t="shared" si="100"/>
        <v>0</v>
      </c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s="10" customFormat="1" ht="13" x14ac:dyDescent="0.3">
      <c r="A327" s="229"/>
      <c r="B327" s="118" t="s">
        <v>168</v>
      </c>
      <c r="C327" s="111"/>
      <c r="D327" s="111"/>
      <c r="E327" s="111"/>
      <c r="F327" s="111" t="s">
        <v>402</v>
      </c>
      <c r="G327" s="111" t="s">
        <v>391</v>
      </c>
      <c r="H327" s="111" t="s">
        <v>285</v>
      </c>
      <c r="I327" s="111" t="s">
        <v>380</v>
      </c>
      <c r="J327" s="95"/>
      <c r="K327" s="102"/>
      <c r="L327" s="102"/>
      <c r="M327" s="350"/>
      <c r="N327" s="253">
        <f>431.58+7872.286-17.249</f>
        <v>8286.6170000000002</v>
      </c>
      <c r="O327" s="142">
        <v>402.59899999999999</v>
      </c>
      <c r="P327" s="109">
        <v>442.85899999999998</v>
      </c>
      <c r="Q327" s="306">
        <v>0</v>
      </c>
      <c r="R327" s="307">
        <v>0</v>
      </c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s="10" customFormat="1" ht="52" hidden="1" x14ac:dyDescent="0.25">
      <c r="A328" s="245">
        <v>9</v>
      </c>
      <c r="B328" s="352" t="s">
        <v>404</v>
      </c>
      <c r="C328" s="111"/>
      <c r="D328" s="111"/>
      <c r="E328" s="111"/>
      <c r="F328" s="357" t="s">
        <v>405</v>
      </c>
      <c r="G328" s="357" t="s">
        <v>44</v>
      </c>
      <c r="H328" s="357"/>
      <c r="I328" s="111"/>
      <c r="J328" s="95"/>
      <c r="K328" s="102"/>
      <c r="L328" s="102"/>
      <c r="M328" s="350"/>
      <c r="N328" s="248">
        <f>N334+N340</f>
        <v>0</v>
      </c>
      <c r="O328" s="142"/>
      <c r="P328" s="109"/>
      <c r="Q328" s="358"/>
      <c r="R328" s="359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s="10" customFormat="1" ht="13.5" hidden="1" x14ac:dyDescent="0.25">
      <c r="A329" s="229"/>
      <c r="B329" s="360" t="s">
        <v>406</v>
      </c>
      <c r="C329" s="111"/>
      <c r="D329" s="111"/>
      <c r="E329" s="111"/>
      <c r="F329" s="361" t="s">
        <v>407</v>
      </c>
      <c r="G329" s="362"/>
      <c r="H329" s="362"/>
      <c r="I329" s="111"/>
      <c r="J329" s="95"/>
      <c r="K329" s="102"/>
      <c r="L329" s="102"/>
      <c r="M329" s="350"/>
      <c r="N329" s="253">
        <f t="shared" ref="N329:N356" si="101">N330</f>
        <v>0</v>
      </c>
      <c r="O329" s="142"/>
      <c r="P329" s="109"/>
      <c r="Q329" s="363"/>
      <c r="R329" s="364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s="10" customFormat="1" ht="26" hidden="1" x14ac:dyDescent="0.25">
      <c r="A330" s="229"/>
      <c r="B330" s="267" t="s">
        <v>408</v>
      </c>
      <c r="C330" s="111"/>
      <c r="D330" s="111"/>
      <c r="E330" s="111"/>
      <c r="F330" s="361" t="s">
        <v>409</v>
      </c>
      <c r="G330" s="365"/>
      <c r="H330" s="365"/>
      <c r="I330" s="111"/>
      <c r="J330" s="95"/>
      <c r="K330" s="102"/>
      <c r="L330" s="102"/>
      <c r="M330" s="350"/>
      <c r="N330" s="253">
        <f t="shared" si="101"/>
        <v>0</v>
      </c>
      <c r="O330" s="142"/>
      <c r="P330" s="109"/>
      <c r="Q330" s="363"/>
      <c r="R330" s="364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s="10" customFormat="1" ht="41.5" hidden="1" customHeight="1" x14ac:dyDescent="0.25">
      <c r="A331" s="229"/>
      <c r="B331" s="366" t="s">
        <v>410</v>
      </c>
      <c r="C331" s="111"/>
      <c r="D331" s="111"/>
      <c r="E331" s="111"/>
      <c r="F331" s="361" t="s">
        <v>411</v>
      </c>
      <c r="G331" s="367"/>
      <c r="H331" s="367"/>
      <c r="I331" s="111"/>
      <c r="J331" s="95"/>
      <c r="K331" s="102"/>
      <c r="L331" s="102"/>
      <c r="M331" s="350"/>
      <c r="N331" s="253">
        <f t="shared" si="101"/>
        <v>0</v>
      </c>
      <c r="O331" s="142"/>
      <c r="P331" s="109"/>
      <c r="Q331" s="363"/>
      <c r="R331" s="364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s="10" customFormat="1" ht="13" hidden="1" x14ac:dyDescent="0.25">
      <c r="A332" s="229"/>
      <c r="B332" s="368" t="s">
        <v>412</v>
      </c>
      <c r="C332" s="111"/>
      <c r="D332" s="111"/>
      <c r="E332" s="111"/>
      <c r="F332" s="367" t="s">
        <v>411</v>
      </c>
      <c r="G332" s="369" t="s">
        <v>413</v>
      </c>
      <c r="H332" s="369"/>
      <c r="I332" s="111"/>
      <c r="J332" s="95"/>
      <c r="K332" s="102"/>
      <c r="L332" s="102"/>
      <c r="M332" s="350"/>
      <c r="N332" s="253">
        <f t="shared" si="101"/>
        <v>0</v>
      </c>
      <c r="O332" s="142"/>
      <c r="P332" s="109"/>
      <c r="Q332" s="363"/>
      <c r="R332" s="364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s="10" customFormat="1" ht="13" hidden="1" x14ac:dyDescent="0.25">
      <c r="A333" s="229"/>
      <c r="B333" s="368" t="s">
        <v>414</v>
      </c>
      <c r="C333" s="111"/>
      <c r="D333" s="111"/>
      <c r="E333" s="111"/>
      <c r="F333" s="367" t="s">
        <v>411</v>
      </c>
      <c r="G333" s="369" t="s">
        <v>415</v>
      </c>
      <c r="H333" s="369"/>
      <c r="I333" s="111"/>
      <c r="J333" s="95"/>
      <c r="K333" s="102"/>
      <c r="L333" s="102"/>
      <c r="M333" s="350"/>
      <c r="N333" s="253">
        <f t="shared" si="101"/>
        <v>0</v>
      </c>
      <c r="O333" s="142"/>
      <c r="P333" s="109"/>
      <c r="Q333" s="363"/>
      <c r="R333" s="364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s="10" customFormat="1" ht="13" hidden="1" x14ac:dyDescent="0.25">
      <c r="A334" s="229"/>
      <c r="B334" s="370" t="s">
        <v>247</v>
      </c>
      <c r="C334" s="111"/>
      <c r="D334" s="111"/>
      <c r="E334" s="111"/>
      <c r="F334" s="367" t="s">
        <v>411</v>
      </c>
      <c r="G334" s="369" t="s">
        <v>415</v>
      </c>
      <c r="H334" s="369" t="s">
        <v>416</v>
      </c>
      <c r="I334" s="111" t="s">
        <v>340</v>
      </c>
      <c r="J334" s="95"/>
      <c r="K334" s="102"/>
      <c r="L334" s="102"/>
      <c r="M334" s="350"/>
      <c r="N334" s="253"/>
      <c r="O334" s="142"/>
      <c r="P334" s="109"/>
      <c r="Q334" s="363"/>
      <c r="R334" s="364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s="10" customFormat="1" ht="40.5" hidden="1" x14ac:dyDescent="0.25">
      <c r="A335" s="229"/>
      <c r="B335" s="360" t="s">
        <v>417</v>
      </c>
      <c r="C335" s="111"/>
      <c r="D335" s="111"/>
      <c r="E335" s="111"/>
      <c r="F335" s="361" t="s">
        <v>418</v>
      </c>
      <c r="G335" s="362"/>
      <c r="H335" s="362"/>
      <c r="I335" s="111"/>
      <c r="J335" s="95"/>
      <c r="K335" s="102"/>
      <c r="L335" s="102"/>
      <c r="M335" s="350"/>
      <c r="N335" s="253">
        <f t="shared" si="101"/>
        <v>0</v>
      </c>
      <c r="O335" s="142"/>
      <c r="P335" s="109"/>
      <c r="Q335" s="363"/>
      <c r="R335" s="364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s="10" customFormat="1" ht="26" hidden="1" x14ac:dyDescent="0.25">
      <c r="A336" s="229"/>
      <c r="B336" s="267" t="s">
        <v>408</v>
      </c>
      <c r="C336" s="111"/>
      <c r="D336" s="111"/>
      <c r="E336" s="111"/>
      <c r="F336" s="361" t="s">
        <v>419</v>
      </c>
      <c r="G336" s="365"/>
      <c r="H336" s="365"/>
      <c r="I336" s="111"/>
      <c r="J336" s="95"/>
      <c r="K336" s="102"/>
      <c r="L336" s="102"/>
      <c r="M336" s="350"/>
      <c r="N336" s="253">
        <f t="shared" si="101"/>
        <v>0</v>
      </c>
      <c r="O336" s="142"/>
      <c r="P336" s="109"/>
      <c r="Q336" s="363"/>
      <c r="R336" s="364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s="10" customFormat="1" ht="39" hidden="1" x14ac:dyDescent="0.25">
      <c r="A337" s="229"/>
      <c r="B337" s="366" t="s">
        <v>410</v>
      </c>
      <c r="C337" s="111"/>
      <c r="D337" s="111"/>
      <c r="E337" s="111"/>
      <c r="F337" s="361" t="s">
        <v>420</v>
      </c>
      <c r="G337" s="367"/>
      <c r="H337" s="367"/>
      <c r="I337" s="111"/>
      <c r="J337" s="95"/>
      <c r="K337" s="102"/>
      <c r="L337" s="102"/>
      <c r="M337" s="350"/>
      <c r="N337" s="253">
        <f t="shared" si="101"/>
        <v>0</v>
      </c>
      <c r="O337" s="142"/>
      <c r="P337" s="109"/>
      <c r="Q337" s="363"/>
      <c r="R337" s="364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s="10" customFormat="1" ht="13" hidden="1" x14ac:dyDescent="0.25">
      <c r="A338" s="229"/>
      <c r="B338" s="368" t="s">
        <v>412</v>
      </c>
      <c r="C338" s="111"/>
      <c r="D338" s="111"/>
      <c r="E338" s="111"/>
      <c r="F338" s="361" t="s">
        <v>420</v>
      </c>
      <c r="G338" s="369" t="s">
        <v>413</v>
      </c>
      <c r="H338" s="369"/>
      <c r="I338" s="111"/>
      <c r="J338" s="95"/>
      <c r="K338" s="102"/>
      <c r="L338" s="102"/>
      <c r="M338" s="350"/>
      <c r="N338" s="253">
        <f t="shared" si="101"/>
        <v>0</v>
      </c>
      <c r="O338" s="142"/>
      <c r="P338" s="109"/>
      <c r="Q338" s="363"/>
      <c r="R338" s="364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s="10" customFormat="1" ht="13" hidden="1" x14ac:dyDescent="0.25">
      <c r="A339" s="229"/>
      <c r="B339" s="368" t="s">
        <v>414</v>
      </c>
      <c r="C339" s="111"/>
      <c r="D339" s="111"/>
      <c r="E339" s="111"/>
      <c r="F339" s="367" t="s">
        <v>420</v>
      </c>
      <c r="G339" s="369" t="s">
        <v>415</v>
      </c>
      <c r="H339" s="369"/>
      <c r="I339" s="111"/>
      <c r="J339" s="95"/>
      <c r="K339" s="102"/>
      <c r="L339" s="102"/>
      <c r="M339" s="350"/>
      <c r="N339" s="253">
        <f>N340</f>
        <v>0</v>
      </c>
      <c r="O339" s="142"/>
      <c r="P339" s="109"/>
      <c r="Q339" s="363"/>
      <c r="R339" s="364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s="10" customFormat="1" ht="13" hidden="1" x14ac:dyDescent="0.25">
      <c r="A340" s="229"/>
      <c r="B340" s="370" t="s">
        <v>247</v>
      </c>
      <c r="C340" s="371"/>
      <c r="D340" s="371"/>
      <c r="E340" s="371"/>
      <c r="F340" s="372" t="s">
        <v>420</v>
      </c>
      <c r="G340" s="373" t="s">
        <v>415</v>
      </c>
      <c r="H340" s="373" t="s">
        <v>416</v>
      </c>
      <c r="I340" s="371" t="s">
        <v>340</v>
      </c>
      <c r="J340" s="95"/>
      <c r="K340" s="102"/>
      <c r="L340" s="102"/>
      <c r="M340" s="350"/>
      <c r="N340" s="253"/>
      <c r="O340" s="142"/>
      <c r="P340" s="109"/>
      <c r="Q340" s="363"/>
      <c r="R340" s="364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s="10" customFormat="1" ht="65" hidden="1" x14ac:dyDescent="0.25">
      <c r="A341" s="374">
        <v>10</v>
      </c>
      <c r="B341" s="375" t="s">
        <v>421</v>
      </c>
      <c r="C341" s="371"/>
      <c r="D341" s="371"/>
      <c r="E341" s="371"/>
      <c r="F341" s="376" t="s">
        <v>422</v>
      </c>
      <c r="G341" s="373"/>
      <c r="H341" s="373"/>
      <c r="I341" s="371"/>
      <c r="J341" s="377"/>
      <c r="K341" s="102"/>
      <c r="L341" s="102"/>
      <c r="M341" s="350"/>
      <c r="N341" s="248">
        <f>N342</f>
        <v>0</v>
      </c>
      <c r="O341" s="142"/>
      <c r="P341" s="109"/>
      <c r="Q341" s="363"/>
      <c r="R341" s="364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s="10" customFormat="1" ht="39" hidden="1" x14ac:dyDescent="0.25">
      <c r="A342" s="378"/>
      <c r="B342" s="379" t="s">
        <v>423</v>
      </c>
      <c r="C342" s="371"/>
      <c r="D342" s="371"/>
      <c r="E342" s="371"/>
      <c r="F342" s="372" t="s">
        <v>424</v>
      </c>
      <c r="G342" s="373"/>
      <c r="H342" s="373"/>
      <c r="I342" s="371"/>
      <c r="J342" s="377"/>
      <c r="K342" s="102"/>
      <c r="L342" s="102"/>
      <c r="M342" s="350"/>
      <c r="N342" s="253">
        <f>N343</f>
        <v>0</v>
      </c>
      <c r="O342" s="142"/>
      <c r="P342" s="109"/>
      <c r="Q342" s="363"/>
      <c r="R342" s="364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s="10" customFormat="1" ht="34.5" hidden="1" x14ac:dyDescent="0.25">
      <c r="A343" s="378"/>
      <c r="B343" s="380" t="s">
        <v>425</v>
      </c>
      <c r="C343" s="371"/>
      <c r="D343" s="371"/>
      <c r="E343" s="371"/>
      <c r="F343" s="372" t="s">
        <v>426</v>
      </c>
      <c r="G343" s="373"/>
      <c r="H343" s="373"/>
      <c r="I343" s="371"/>
      <c r="J343" s="377"/>
      <c r="K343" s="102"/>
      <c r="L343" s="102"/>
      <c r="M343" s="350"/>
      <c r="N343" s="253">
        <f>N344</f>
        <v>0</v>
      </c>
      <c r="O343" s="142"/>
      <c r="P343" s="109"/>
      <c r="Q343" s="363"/>
      <c r="R343" s="364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s="10" customFormat="1" ht="23" hidden="1" x14ac:dyDescent="0.25">
      <c r="A344" s="378"/>
      <c r="B344" s="381" t="s">
        <v>427</v>
      </c>
      <c r="C344" s="371"/>
      <c r="D344" s="371"/>
      <c r="E344" s="371"/>
      <c r="F344" s="372" t="s">
        <v>426</v>
      </c>
      <c r="G344" s="373" t="s">
        <v>428</v>
      </c>
      <c r="H344" s="373"/>
      <c r="I344" s="371"/>
      <c r="J344" s="377"/>
      <c r="K344" s="102"/>
      <c r="L344" s="102"/>
      <c r="M344" s="350"/>
      <c r="N344" s="253">
        <f>N345</f>
        <v>0</v>
      </c>
      <c r="O344" s="142"/>
      <c r="P344" s="109"/>
      <c r="Q344" s="363"/>
      <c r="R344" s="364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s="10" customFormat="1" ht="23" hidden="1" x14ac:dyDescent="0.25">
      <c r="A345" s="378"/>
      <c r="B345" s="382" t="s">
        <v>397</v>
      </c>
      <c r="C345" s="371"/>
      <c r="D345" s="371"/>
      <c r="E345" s="371"/>
      <c r="F345" s="372" t="s">
        <v>426</v>
      </c>
      <c r="G345" s="373" t="s">
        <v>65</v>
      </c>
      <c r="H345" s="373"/>
      <c r="I345" s="371"/>
      <c r="J345" s="377"/>
      <c r="K345" s="102"/>
      <c r="L345" s="102"/>
      <c r="M345" s="350"/>
      <c r="N345" s="253">
        <f>N346</f>
        <v>0</v>
      </c>
      <c r="O345" s="142"/>
      <c r="P345" s="109"/>
      <c r="Q345" s="363"/>
      <c r="R345" s="364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s="10" customFormat="1" ht="13" hidden="1" x14ac:dyDescent="0.3">
      <c r="A346" s="378"/>
      <c r="B346" s="383" t="s">
        <v>192</v>
      </c>
      <c r="C346" s="371"/>
      <c r="D346" s="371"/>
      <c r="E346" s="371"/>
      <c r="F346" s="372" t="s">
        <v>426</v>
      </c>
      <c r="G346" s="373" t="s">
        <v>65</v>
      </c>
      <c r="H346" s="373" t="s">
        <v>285</v>
      </c>
      <c r="I346" s="371" t="s">
        <v>340</v>
      </c>
      <c r="J346" s="377"/>
      <c r="K346" s="102"/>
      <c r="L346" s="102"/>
      <c r="M346" s="350"/>
      <c r="N346" s="253"/>
      <c r="O346" s="142"/>
      <c r="P346" s="109"/>
      <c r="Q346" s="363"/>
      <c r="R346" s="364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s="10" customFormat="1" ht="52" x14ac:dyDescent="0.25">
      <c r="A347" s="374">
        <v>10</v>
      </c>
      <c r="B347" s="375" t="s">
        <v>429</v>
      </c>
      <c r="C347" s="111"/>
      <c r="D347" s="111"/>
      <c r="E347" s="111"/>
      <c r="F347" s="384" t="s">
        <v>430</v>
      </c>
      <c r="G347" s="384"/>
      <c r="H347" s="384"/>
      <c r="I347" s="384"/>
      <c r="J347" s="377"/>
      <c r="K347" s="102"/>
      <c r="L347" s="102"/>
      <c r="M347" s="350"/>
      <c r="N347" s="248">
        <f>N348+N353</f>
        <v>7850</v>
      </c>
      <c r="O347" s="265"/>
      <c r="P347" s="105"/>
      <c r="Q347" s="358">
        <f>Q348+Q353</f>
        <v>1265</v>
      </c>
      <c r="R347" s="359">
        <f>R348+R353</f>
        <v>1391.5</v>
      </c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10" customFormat="1" ht="39" hidden="1" x14ac:dyDescent="0.25">
      <c r="A348" s="378"/>
      <c r="B348" s="385" t="s">
        <v>431</v>
      </c>
      <c r="C348" s="111"/>
      <c r="D348" s="111"/>
      <c r="E348" s="111"/>
      <c r="F348" s="386" t="s">
        <v>432</v>
      </c>
      <c r="G348" s="386"/>
      <c r="H348" s="386"/>
      <c r="I348" s="386"/>
      <c r="J348" s="377"/>
      <c r="K348" s="102"/>
      <c r="L348" s="102"/>
      <c r="M348" s="350"/>
      <c r="N348" s="253"/>
      <c r="O348" s="142"/>
      <c r="P348" s="109"/>
      <c r="Q348" s="363">
        <f t="shared" ref="Q348:R351" si="102">Q349</f>
        <v>0</v>
      </c>
      <c r="R348" s="364">
        <f t="shared" si="102"/>
        <v>0</v>
      </c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10" customFormat="1" ht="34.5" hidden="1" x14ac:dyDescent="0.25">
      <c r="A349" s="378"/>
      <c r="B349" s="387" t="s">
        <v>433</v>
      </c>
      <c r="C349" s="111"/>
      <c r="D349" s="111"/>
      <c r="E349" s="111"/>
      <c r="F349" s="388" t="s">
        <v>434</v>
      </c>
      <c r="G349" s="388"/>
      <c r="H349" s="388"/>
      <c r="I349" s="388"/>
      <c r="J349" s="377"/>
      <c r="K349" s="102"/>
      <c r="L349" s="102"/>
      <c r="M349" s="350"/>
      <c r="N349" s="253"/>
      <c r="O349" s="142"/>
      <c r="P349" s="109"/>
      <c r="Q349" s="363">
        <f t="shared" si="102"/>
        <v>0</v>
      </c>
      <c r="R349" s="364">
        <f t="shared" si="102"/>
        <v>0</v>
      </c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10" customFormat="1" ht="23" hidden="1" x14ac:dyDescent="0.25">
      <c r="A350" s="378"/>
      <c r="B350" s="381" t="s">
        <v>427</v>
      </c>
      <c r="C350" s="111"/>
      <c r="D350" s="111"/>
      <c r="E350" s="111"/>
      <c r="F350" s="388" t="s">
        <v>434</v>
      </c>
      <c r="G350" s="388" t="s">
        <v>428</v>
      </c>
      <c r="H350" s="388"/>
      <c r="I350" s="388"/>
      <c r="J350" s="377"/>
      <c r="K350" s="102"/>
      <c r="L350" s="102"/>
      <c r="M350" s="350"/>
      <c r="N350" s="253"/>
      <c r="O350" s="142"/>
      <c r="P350" s="109"/>
      <c r="Q350" s="363">
        <f t="shared" si="102"/>
        <v>0</v>
      </c>
      <c r="R350" s="364">
        <f t="shared" si="102"/>
        <v>0</v>
      </c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10" customFormat="1" ht="23" hidden="1" x14ac:dyDescent="0.25">
      <c r="A351" s="378"/>
      <c r="B351" s="382" t="s">
        <v>397</v>
      </c>
      <c r="C351" s="111"/>
      <c r="D351" s="111"/>
      <c r="E351" s="111"/>
      <c r="F351" s="388" t="s">
        <v>434</v>
      </c>
      <c r="G351" s="389" t="s">
        <v>65</v>
      </c>
      <c r="H351" s="388"/>
      <c r="I351" s="388"/>
      <c r="J351" s="377"/>
      <c r="K351" s="102"/>
      <c r="L351" s="102"/>
      <c r="M351" s="350"/>
      <c r="N351" s="253"/>
      <c r="O351" s="142"/>
      <c r="P351" s="109"/>
      <c r="Q351" s="363">
        <f t="shared" si="102"/>
        <v>0</v>
      </c>
      <c r="R351" s="364">
        <f t="shared" si="102"/>
        <v>0</v>
      </c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10" customFormat="1" ht="13" hidden="1" x14ac:dyDescent="0.25">
      <c r="A352" s="378"/>
      <c r="B352" s="382" t="s">
        <v>192</v>
      </c>
      <c r="C352" s="111"/>
      <c r="D352" s="111"/>
      <c r="E352" s="111"/>
      <c r="F352" s="388" t="s">
        <v>434</v>
      </c>
      <c r="G352" s="389" t="s">
        <v>65</v>
      </c>
      <c r="H352" s="388" t="s">
        <v>285</v>
      </c>
      <c r="I352" s="388" t="s">
        <v>340</v>
      </c>
      <c r="J352" s="377"/>
      <c r="K352" s="102"/>
      <c r="L352" s="102"/>
      <c r="M352" s="350"/>
      <c r="N352" s="253"/>
      <c r="O352" s="142"/>
      <c r="P352" s="109"/>
      <c r="Q352" s="363"/>
      <c r="R352" s="364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10" customFormat="1" ht="26" x14ac:dyDescent="0.25">
      <c r="A353" s="378"/>
      <c r="B353" s="385" t="s">
        <v>435</v>
      </c>
      <c r="C353" s="111"/>
      <c r="D353" s="111"/>
      <c r="E353" s="111"/>
      <c r="F353" s="386" t="s">
        <v>436</v>
      </c>
      <c r="G353" s="386"/>
      <c r="H353" s="386"/>
      <c r="I353" s="386"/>
      <c r="J353" s="377"/>
      <c r="K353" s="102"/>
      <c r="L353" s="102"/>
      <c r="M353" s="350"/>
      <c r="N353" s="253">
        <f>N354</f>
        <v>7850</v>
      </c>
      <c r="O353" s="142"/>
      <c r="P353" s="109"/>
      <c r="Q353" s="363">
        <f>Q354</f>
        <v>1265</v>
      </c>
      <c r="R353" s="364">
        <f>R354</f>
        <v>1391.5</v>
      </c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10" customFormat="1" ht="13" x14ac:dyDescent="0.25">
      <c r="A354" s="378"/>
      <c r="B354" s="381" t="s">
        <v>437</v>
      </c>
      <c r="C354" s="111"/>
      <c r="D354" s="111"/>
      <c r="E354" s="111"/>
      <c r="F354" s="388" t="s">
        <v>438</v>
      </c>
      <c r="G354" s="388"/>
      <c r="H354" s="388"/>
      <c r="I354" s="388"/>
      <c r="J354" s="377"/>
      <c r="K354" s="102"/>
      <c r="L354" s="102"/>
      <c r="M354" s="350"/>
      <c r="N354" s="253">
        <f t="shared" si="101"/>
        <v>7850</v>
      </c>
      <c r="O354" s="142"/>
      <c r="P354" s="109"/>
      <c r="Q354" s="363">
        <f t="shared" ref="Q354:R356" si="103">Q355</f>
        <v>1265</v>
      </c>
      <c r="R354" s="364">
        <f t="shared" si="103"/>
        <v>1391.5</v>
      </c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10" customFormat="1" ht="23" x14ac:dyDescent="0.25">
      <c r="A355" s="378"/>
      <c r="B355" s="381" t="s">
        <v>427</v>
      </c>
      <c r="C355" s="111"/>
      <c r="D355" s="111"/>
      <c r="E355" s="111"/>
      <c r="F355" s="388" t="s">
        <v>438</v>
      </c>
      <c r="G355" s="388" t="s">
        <v>428</v>
      </c>
      <c r="H355" s="388"/>
      <c r="I355" s="388"/>
      <c r="J355" s="377"/>
      <c r="K355" s="102"/>
      <c r="L355" s="102"/>
      <c r="M355" s="350"/>
      <c r="N355" s="253">
        <f t="shared" si="101"/>
        <v>7850</v>
      </c>
      <c r="O355" s="142"/>
      <c r="P355" s="109"/>
      <c r="Q355" s="363">
        <f t="shared" si="103"/>
        <v>1265</v>
      </c>
      <c r="R355" s="364">
        <f t="shared" si="103"/>
        <v>1391.5</v>
      </c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10" customFormat="1" ht="23" x14ac:dyDescent="0.25">
      <c r="A356" s="378"/>
      <c r="B356" s="382" t="s">
        <v>397</v>
      </c>
      <c r="C356" s="111"/>
      <c r="D356" s="111"/>
      <c r="E356" s="111"/>
      <c r="F356" s="388" t="s">
        <v>438</v>
      </c>
      <c r="G356" s="389" t="s">
        <v>65</v>
      </c>
      <c r="H356" s="388"/>
      <c r="I356" s="388"/>
      <c r="J356" s="377"/>
      <c r="K356" s="102"/>
      <c r="L356" s="102"/>
      <c r="M356" s="350"/>
      <c r="N356" s="253">
        <f t="shared" si="101"/>
        <v>7850</v>
      </c>
      <c r="O356" s="142"/>
      <c r="P356" s="109"/>
      <c r="Q356" s="363">
        <f t="shared" si="103"/>
        <v>1265</v>
      </c>
      <c r="R356" s="364">
        <f t="shared" si="103"/>
        <v>1391.5</v>
      </c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10" customFormat="1" ht="13" x14ac:dyDescent="0.25">
      <c r="A357" s="378"/>
      <c r="B357" s="382" t="s">
        <v>192</v>
      </c>
      <c r="C357" s="111"/>
      <c r="D357" s="111"/>
      <c r="E357" s="111"/>
      <c r="F357" s="390" t="s">
        <v>438</v>
      </c>
      <c r="G357" s="389" t="s">
        <v>65</v>
      </c>
      <c r="H357" s="388" t="s">
        <v>285</v>
      </c>
      <c r="I357" s="388" t="s">
        <v>340</v>
      </c>
      <c r="J357" s="377"/>
      <c r="K357" s="102"/>
      <c r="L357" s="102"/>
      <c r="M357" s="350"/>
      <c r="N357" s="253">
        <f>350+7500</f>
        <v>7850</v>
      </c>
      <c r="O357" s="142"/>
      <c r="P357" s="109"/>
      <c r="Q357" s="363">
        <f>385+880</f>
        <v>1265</v>
      </c>
      <c r="R357" s="364">
        <f>423.5+968</f>
        <v>1391.5</v>
      </c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10" customFormat="1" ht="13" hidden="1" x14ac:dyDescent="0.3">
      <c r="A358" s="229"/>
      <c r="B358" s="391"/>
      <c r="C358" s="330"/>
      <c r="D358" s="330"/>
      <c r="E358" s="330"/>
      <c r="F358" s="330"/>
      <c r="G358" s="330"/>
      <c r="H358" s="330"/>
      <c r="I358" s="330"/>
      <c r="J358" s="95"/>
      <c r="K358" s="102"/>
      <c r="L358" s="102"/>
      <c r="M358" s="350"/>
      <c r="N358" s="253"/>
      <c r="O358" s="142"/>
      <c r="P358" s="109"/>
      <c r="Q358" s="254"/>
      <c r="R358" s="255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10" customFormat="1" ht="13" hidden="1" x14ac:dyDescent="0.3">
      <c r="A359" s="229"/>
      <c r="B359" s="392"/>
      <c r="C359" s="111"/>
      <c r="D359" s="111"/>
      <c r="E359" s="111"/>
      <c r="F359" s="111"/>
      <c r="G359" s="111"/>
      <c r="H359" s="111"/>
      <c r="I359" s="111"/>
      <c r="J359" s="95"/>
      <c r="K359" s="102"/>
      <c r="L359" s="102"/>
      <c r="M359" s="350"/>
      <c r="N359" s="253"/>
      <c r="O359" s="142"/>
      <c r="P359" s="109"/>
      <c r="Q359" s="254"/>
      <c r="R359" s="255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10" customFormat="1" ht="13" hidden="1" x14ac:dyDescent="0.3">
      <c r="A360" s="229"/>
      <c r="B360" s="392"/>
      <c r="C360" s="111"/>
      <c r="D360" s="111"/>
      <c r="E360" s="111"/>
      <c r="F360" s="111"/>
      <c r="G360" s="111"/>
      <c r="H360" s="111"/>
      <c r="I360" s="111"/>
      <c r="J360" s="95"/>
      <c r="K360" s="102"/>
      <c r="L360" s="102"/>
      <c r="M360" s="350"/>
      <c r="N360" s="253"/>
      <c r="O360" s="142"/>
      <c r="P360" s="109"/>
      <c r="Q360" s="254"/>
      <c r="R360" s="255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10" customFormat="1" ht="55.15" hidden="1" customHeight="1" x14ac:dyDescent="0.25">
      <c r="A361" s="245">
        <v>9</v>
      </c>
      <c r="B361" s="197" t="s">
        <v>439</v>
      </c>
      <c r="C361" s="110"/>
      <c r="D361" s="60" t="s">
        <v>149</v>
      </c>
      <c r="E361" s="110" t="s">
        <v>193</v>
      </c>
      <c r="F361" s="110" t="s">
        <v>440</v>
      </c>
      <c r="G361" s="132"/>
      <c r="H361" s="132"/>
      <c r="I361" s="110"/>
      <c r="J361" s="133">
        <f>J362</f>
        <v>3000</v>
      </c>
      <c r="K361" s="133"/>
      <c r="L361" s="133">
        <f>L363</f>
        <v>6008.35</v>
      </c>
      <c r="M361" s="268">
        <f>M363</f>
        <v>8515.7049999999999</v>
      </c>
      <c r="N361" s="248">
        <f t="shared" ref="N361:R363" si="104">N362</f>
        <v>0</v>
      </c>
      <c r="O361" s="180">
        <f t="shared" si="104"/>
        <v>3500</v>
      </c>
      <c r="P361" s="134">
        <f t="shared" si="104"/>
        <v>3500</v>
      </c>
      <c r="Q361" s="269">
        <f t="shared" si="104"/>
        <v>0</v>
      </c>
      <c r="R361" s="270">
        <f t="shared" si="104"/>
        <v>0</v>
      </c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10" customFormat="1" ht="39" hidden="1" x14ac:dyDescent="0.25">
      <c r="A362" s="245"/>
      <c r="B362" s="303" t="s">
        <v>441</v>
      </c>
      <c r="C362" s="110"/>
      <c r="D362" s="60"/>
      <c r="E362" s="110"/>
      <c r="F362" s="111" t="s">
        <v>442</v>
      </c>
      <c r="G362" s="157"/>
      <c r="H362" s="157"/>
      <c r="I362" s="111"/>
      <c r="J362" s="158">
        <f>J363</f>
        <v>3000</v>
      </c>
      <c r="K362" s="133"/>
      <c r="L362" s="133"/>
      <c r="M362" s="268"/>
      <c r="N362" s="253">
        <f t="shared" si="104"/>
        <v>0</v>
      </c>
      <c r="O362" s="345">
        <f t="shared" si="104"/>
        <v>3500</v>
      </c>
      <c r="P362" s="160">
        <f t="shared" si="104"/>
        <v>3500</v>
      </c>
      <c r="Q362" s="346">
        <f t="shared" si="104"/>
        <v>0</v>
      </c>
      <c r="R362" s="347">
        <f t="shared" si="104"/>
        <v>0</v>
      </c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0" customFormat="1" ht="26" hidden="1" x14ac:dyDescent="0.25">
      <c r="A363" s="229"/>
      <c r="B363" s="393" t="s">
        <v>443</v>
      </c>
      <c r="C363" s="111"/>
      <c r="D363" s="101" t="s">
        <v>149</v>
      </c>
      <c r="E363" s="111" t="s">
        <v>193</v>
      </c>
      <c r="F363" s="111" t="s">
        <v>444</v>
      </c>
      <c r="G363" s="111"/>
      <c r="H363" s="111"/>
      <c r="I363" s="111"/>
      <c r="J363" s="95">
        <f>J364</f>
        <v>3000</v>
      </c>
      <c r="K363" s="103"/>
      <c r="L363" s="102">
        <f>L364</f>
        <v>6008.35</v>
      </c>
      <c r="M363" s="350">
        <f>M364</f>
        <v>8515.7049999999999</v>
      </c>
      <c r="N363" s="253">
        <f t="shared" si="104"/>
        <v>0</v>
      </c>
      <c r="O363" s="142">
        <f t="shared" si="104"/>
        <v>3500</v>
      </c>
      <c r="P363" s="109">
        <f t="shared" si="104"/>
        <v>3500</v>
      </c>
      <c r="Q363" s="254">
        <f t="shared" si="104"/>
        <v>0</v>
      </c>
      <c r="R363" s="255">
        <f t="shared" si="104"/>
        <v>0</v>
      </c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10" customFormat="1" ht="12.65" hidden="1" customHeight="1" x14ac:dyDescent="0.3">
      <c r="A364" s="229"/>
      <c r="B364" s="285" t="s">
        <v>42</v>
      </c>
      <c r="C364" s="111"/>
      <c r="D364" s="101" t="s">
        <v>149</v>
      </c>
      <c r="E364" s="111" t="s">
        <v>193</v>
      </c>
      <c r="F364" s="111" t="s">
        <v>444</v>
      </c>
      <c r="G364" s="111" t="s">
        <v>65</v>
      </c>
      <c r="H364" s="111"/>
      <c r="I364" s="111"/>
      <c r="J364" s="95">
        <f>J370</f>
        <v>3000</v>
      </c>
      <c r="K364" s="103"/>
      <c r="L364" s="102">
        <v>6008.35</v>
      </c>
      <c r="M364" s="350">
        <v>8515.7049999999999</v>
      </c>
      <c r="N364" s="253">
        <f>N370</f>
        <v>0</v>
      </c>
      <c r="O364" s="142">
        <f>O370</f>
        <v>3500</v>
      </c>
      <c r="P364" s="109">
        <f>P370</f>
        <v>3500</v>
      </c>
      <c r="Q364" s="254">
        <f>Q370</f>
        <v>0</v>
      </c>
      <c r="R364" s="255">
        <f>R370</f>
        <v>0</v>
      </c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10" customFormat="1" ht="44.25" hidden="1" customHeight="1" x14ac:dyDescent="0.25">
      <c r="A365" s="229"/>
      <c r="B365" s="100" t="s">
        <v>114</v>
      </c>
      <c r="C365" s="111"/>
      <c r="D365" s="110" t="s">
        <v>97</v>
      </c>
      <c r="E365" s="110" t="s">
        <v>99</v>
      </c>
      <c r="F365" s="110" t="s">
        <v>115</v>
      </c>
      <c r="G365" s="132"/>
      <c r="H365" s="132"/>
      <c r="I365" s="110" t="s">
        <v>99</v>
      </c>
      <c r="J365" s="157"/>
      <c r="K365" s="132"/>
      <c r="M365" s="394"/>
      <c r="N365" s="253"/>
      <c r="O365" s="345"/>
      <c r="P365" s="160"/>
      <c r="Q365" s="346"/>
      <c r="R365" s="347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39" hidden="1" x14ac:dyDescent="0.25">
      <c r="A366" s="229"/>
      <c r="B366" s="106" t="s">
        <v>116</v>
      </c>
      <c r="C366" s="111"/>
      <c r="D366" s="111" t="s">
        <v>97</v>
      </c>
      <c r="E366" s="111" t="s">
        <v>99</v>
      </c>
      <c r="F366" s="111" t="s">
        <v>117</v>
      </c>
      <c r="G366" s="101"/>
      <c r="H366" s="101"/>
      <c r="I366" s="111" t="s">
        <v>99</v>
      </c>
      <c r="J366" s="99"/>
      <c r="K366" s="99"/>
      <c r="L366" s="99"/>
      <c r="M366" s="263"/>
      <c r="N366" s="253"/>
      <c r="O366" s="142"/>
      <c r="P366" s="109"/>
      <c r="Q366" s="254"/>
      <c r="R366" s="255"/>
    </row>
    <row r="367" spans="1:256" ht="42.75" hidden="1" customHeight="1" x14ac:dyDescent="0.25">
      <c r="A367" s="229"/>
      <c r="B367" s="177" t="s">
        <v>178</v>
      </c>
      <c r="C367" s="110"/>
      <c r="D367" s="60" t="s">
        <v>149</v>
      </c>
      <c r="E367" s="110" t="s">
        <v>169</v>
      </c>
      <c r="F367" s="110" t="s">
        <v>179</v>
      </c>
      <c r="G367" s="132"/>
      <c r="H367" s="132"/>
      <c r="I367" s="110" t="s">
        <v>169</v>
      </c>
      <c r="J367" s="157"/>
      <c r="K367" s="182"/>
      <c r="L367" s="10"/>
      <c r="M367" s="274"/>
      <c r="N367" s="253"/>
      <c r="O367" s="345"/>
      <c r="P367" s="160"/>
      <c r="Q367" s="346"/>
      <c r="R367" s="347"/>
    </row>
    <row r="368" spans="1:256" ht="72.75" hidden="1" customHeight="1" x14ac:dyDescent="0.25">
      <c r="A368" s="229"/>
      <c r="B368" s="106" t="s">
        <v>180</v>
      </c>
      <c r="C368" s="111"/>
      <c r="D368" s="101" t="s">
        <v>149</v>
      </c>
      <c r="E368" s="111" t="s">
        <v>169</v>
      </c>
      <c r="F368" s="111" t="s">
        <v>181</v>
      </c>
      <c r="G368" s="111"/>
      <c r="H368" s="111"/>
      <c r="I368" s="111" t="s">
        <v>169</v>
      </c>
      <c r="J368" s="99"/>
      <c r="K368" s="103"/>
      <c r="L368" s="103"/>
      <c r="M368" s="264"/>
      <c r="N368" s="253"/>
      <c r="O368" s="142"/>
      <c r="P368" s="109"/>
      <c r="Q368" s="254"/>
      <c r="R368" s="255"/>
    </row>
    <row r="369" spans="1:18" ht="57" hidden="1" customHeight="1" x14ac:dyDescent="0.25">
      <c r="A369" s="229"/>
      <c r="B369" s="162" t="s">
        <v>182</v>
      </c>
      <c r="C369" s="110"/>
      <c r="D369" s="101" t="s">
        <v>149</v>
      </c>
      <c r="E369" s="111" t="s">
        <v>169</v>
      </c>
      <c r="F369" s="111" t="s">
        <v>183</v>
      </c>
      <c r="G369" s="111"/>
      <c r="H369" s="111"/>
      <c r="I369" s="111" t="s">
        <v>169</v>
      </c>
      <c r="J369" s="99"/>
      <c r="K369" s="103"/>
      <c r="L369" s="103"/>
      <c r="M369" s="264"/>
      <c r="N369" s="253"/>
      <c r="O369" s="142"/>
      <c r="P369" s="109"/>
      <c r="Q369" s="254"/>
      <c r="R369" s="255"/>
    </row>
    <row r="370" spans="1:18" ht="13" hidden="1" x14ac:dyDescent="0.3">
      <c r="A370" s="229"/>
      <c r="B370" s="118" t="s">
        <v>192</v>
      </c>
      <c r="C370" s="111"/>
      <c r="D370" s="101" t="s">
        <v>149</v>
      </c>
      <c r="E370" s="111" t="s">
        <v>193</v>
      </c>
      <c r="F370" s="111" t="s">
        <v>444</v>
      </c>
      <c r="G370" s="111" t="s">
        <v>65</v>
      </c>
      <c r="H370" s="111" t="s">
        <v>285</v>
      </c>
      <c r="I370" s="111" t="s">
        <v>340</v>
      </c>
      <c r="J370" s="95">
        <v>3000</v>
      </c>
      <c r="K370" s="103"/>
      <c r="L370" s="102">
        <v>6008.35</v>
      </c>
      <c r="M370" s="350">
        <v>8515.7049999999999</v>
      </c>
      <c r="N370" s="253"/>
      <c r="O370" s="142">
        <v>3500</v>
      </c>
      <c r="P370" s="109">
        <v>3500</v>
      </c>
      <c r="Q370" s="254"/>
      <c r="R370" s="255"/>
    </row>
    <row r="371" spans="1:18" ht="65" x14ac:dyDescent="0.25">
      <c r="A371" s="374">
        <v>11</v>
      </c>
      <c r="B371" s="375" t="s">
        <v>421</v>
      </c>
      <c r="C371" s="371"/>
      <c r="D371" s="371"/>
      <c r="E371" s="371"/>
      <c r="F371" s="376" t="s">
        <v>422</v>
      </c>
      <c r="G371" s="373"/>
      <c r="H371" s="373"/>
      <c r="I371" s="371"/>
      <c r="J371" s="377"/>
      <c r="K371" s="102"/>
      <c r="L371" s="102"/>
      <c r="M371" s="350"/>
      <c r="N371" s="248">
        <f>N372</f>
        <v>654.13699999999994</v>
      </c>
      <c r="O371" s="142"/>
      <c r="P371" s="109"/>
      <c r="Q371" s="395">
        <f t="shared" ref="Q371:R375" si="105">Q372</f>
        <v>0</v>
      </c>
      <c r="R371" s="396">
        <f t="shared" si="105"/>
        <v>0</v>
      </c>
    </row>
    <row r="372" spans="1:18" ht="26" x14ac:dyDescent="0.25">
      <c r="A372" s="378"/>
      <c r="B372" s="379" t="s">
        <v>445</v>
      </c>
      <c r="C372" s="371"/>
      <c r="D372" s="371"/>
      <c r="E372" s="371"/>
      <c r="F372" s="372" t="s">
        <v>424</v>
      </c>
      <c r="G372" s="373"/>
      <c r="H372" s="373"/>
      <c r="I372" s="371"/>
      <c r="J372" s="377"/>
      <c r="K372" s="102"/>
      <c r="L372" s="102"/>
      <c r="M372" s="350"/>
      <c r="N372" s="253">
        <f>N373</f>
        <v>654.13699999999994</v>
      </c>
      <c r="O372" s="142"/>
      <c r="P372" s="109"/>
      <c r="Q372" s="397">
        <f t="shared" si="105"/>
        <v>0</v>
      </c>
      <c r="R372" s="307">
        <f t="shared" si="105"/>
        <v>0</v>
      </c>
    </row>
    <row r="373" spans="1:18" ht="34.5" x14ac:dyDescent="0.25">
      <c r="A373" s="378"/>
      <c r="B373" s="380" t="s">
        <v>446</v>
      </c>
      <c r="C373" s="371"/>
      <c r="D373" s="371"/>
      <c r="E373" s="371"/>
      <c r="F373" s="372" t="s">
        <v>447</v>
      </c>
      <c r="G373" s="373"/>
      <c r="H373" s="373"/>
      <c r="I373" s="371"/>
      <c r="J373" s="377"/>
      <c r="K373" s="102"/>
      <c r="L373" s="102"/>
      <c r="M373" s="350"/>
      <c r="N373" s="253">
        <f>N374</f>
        <v>654.13699999999994</v>
      </c>
      <c r="O373" s="142"/>
      <c r="P373" s="109"/>
      <c r="Q373" s="397">
        <f t="shared" si="105"/>
        <v>0</v>
      </c>
      <c r="R373" s="307">
        <f t="shared" si="105"/>
        <v>0</v>
      </c>
    </row>
    <row r="374" spans="1:18" ht="23" x14ac:dyDescent="0.25">
      <c r="A374" s="378"/>
      <c r="B374" s="381" t="s">
        <v>427</v>
      </c>
      <c r="C374" s="371"/>
      <c r="D374" s="371"/>
      <c r="E374" s="371"/>
      <c r="F374" s="372" t="s">
        <v>447</v>
      </c>
      <c r="G374" s="398" t="s">
        <v>428</v>
      </c>
      <c r="H374" s="373"/>
      <c r="I374" s="371"/>
      <c r="J374" s="377"/>
      <c r="K374" s="102"/>
      <c r="L374" s="102"/>
      <c r="M374" s="350"/>
      <c r="N374" s="253">
        <f>N375</f>
        <v>654.13699999999994</v>
      </c>
      <c r="O374" s="142"/>
      <c r="P374" s="109"/>
      <c r="Q374" s="397">
        <f t="shared" si="105"/>
        <v>0</v>
      </c>
      <c r="R374" s="307">
        <f t="shared" si="105"/>
        <v>0</v>
      </c>
    </row>
    <row r="375" spans="1:18" ht="23" x14ac:dyDescent="0.25">
      <c r="A375" s="378"/>
      <c r="B375" s="382" t="s">
        <v>397</v>
      </c>
      <c r="C375" s="371"/>
      <c r="D375" s="371"/>
      <c r="E375" s="371"/>
      <c r="F375" s="372" t="s">
        <v>447</v>
      </c>
      <c r="G375" s="398" t="s">
        <v>65</v>
      </c>
      <c r="H375" s="373"/>
      <c r="I375" s="371"/>
      <c r="J375" s="377"/>
      <c r="K375" s="102"/>
      <c r="L375" s="102"/>
      <c r="M375" s="350"/>
      <c r="N375" s="253">
        <f>N376</f>
        <v>654.13699999999994</v>
      </c>
      <c r="O375" s="142"/>
      <c r="P375" s="109"/>
      <c r="Q375" s="397">
        <f t="shared" si="105"/>
        <v>0</v>
      </c>
      <c r="R375" s="307">
        <f t="shared" si="105"/>
        <v>0</v>
      </c>
    </row>
    <row r="376" spans="1:18" ht="13" x14ac:dyDescent="0.25">
      <c r="A376" s="378"/>
      <c r="B376" s="382" t="s">
        <v>192</v>
      </c>
      <c r="C376" s="371"/>
      <c r="D376" s="371"/>
      <c r="E376" s="371"/>
      <c r="F376" s="372" t="s">
        <v>447</v>
      </c>
      <c r="G376" s="398" t="s">
        <v>65</v>
      </c>
      <c r="H376" s="398" t="s">
        <v>285</v>
      </c>
      <c r="I376" s="399" t="s">
        <v>340</v>
      </c>
      <c r="J376" s="377"/>
      <c r="K376" s="102"/>
      <c r="L376" s="102"/>
      <c r="M376" s="350"/>
      <c r="N376" s="253">
        <f>32.707+621.43</f>
        <v>654.13699999999994</v>
      </c>
      <c r="O376" s="142"/>
      <c r="P376" s="109"/>
      <c r="Q376" s="397">
        <v>0</v>
      </c>
      <c r="R376" s="307">
        <v>0</v>
      </c>
    </row>
    <row r="377" spans="1:18" ht="39" x14ac:dyDescent="0.25">
      <c r="A377" s="374">
        <v>12</v>
      </c>
      <c r="B377" s="375" t="s">
        <v>448</v>
      </c>
      <c r="C377" s="371"/>
      <c r="D377" s="371"/>
      <c r="E377" s="371"/>
      <c r="F377" s="376" t="s">
        <v>449</v>
      </c>
      <c r="G377" s="398"/>
      <c r="H377" s="398"/>
      <c r="I377" s="399"/>
      <c r="J377" s="377"/>
      <c r="K377" s="102"/>
      <c r="L377" s="102"/>
      <c r="M377" s="350"/>
      <c r="N377" s="248">
        <f>N379</f>
        <v>2992.7565999999997</v>
      </c>
      <c r="O377" s="142"/>
      <c r="P377" s="109"/>
      <c r="Q377" s="395">
        <f t="shared" ref="Q377:R382" si="106">Q378</f>
        <v>0</v>
      </c>
      <c r="R377" s="396">
        <f t="shared" si="106"/>
        <v>0</v>
      </c>
    </row>
    <row r="378" spans="1:18" ht="39" x14ac:dyDescent="0.25">
      <c r="A378" s="374"/>
      <c r="B378" s="400" t="s">
        <v>450</v>
      </c>
      <c r="C378" s="371"/>
      <c r="D378" s="371"/>
      <c r="E378" s="371"/>
      <c r="F378" s="372" t="s">
        <v>451</v>
      </c>
      <c r="G378" s="398"/>
      <c r="H378" s="398"/>
      <c r="I378" s="399"/>
      <c r="J378" s="377"/>
      <c r="K378" s="102"/>
      <c r="L378" s="102"/>
      <c r="M378" s="350"/>
      <c r="N378" s="253">
        <f>N379</f>
        <v>2992.7565999999997</v>
      </c>
      <c r="O378" s="142"/>
      <c r="P378" s="109"/>
      <c r="Q378" s="397">
        <f t="shared" si="106"/>
        <v>0</v>
      </c>
      <c r="R378" s="307">
        <f t="shared" si="106"/>
        <v>0</v>
      </c>
    </row>
    <row r="379" spans="1:18" ht="52" x14ac:dyDescent="0.25">
      <c r="A379" s="378"/>
      <c r="B379" s="379" t="s">
        <v>452</v>
      </c>
      <c r="C379" s="371"/>
      <c r="D379" s="371"/>
      <c r="E379" s="371"/>
      <c r="F379" s="372" t="s">
        <v>453</v>
      </c>
      <c r="G379" s="398"/>
      <c r="H379" s="398"/>
      <c r="I379" s="399"/>
      <c r="J379" s="377"/>
      <c r="K379" s="102"/>
      <c r="L379" s="102"/>
      <c r="M379" s="350"/>
      <c r="N379" s="253">
        <f>N380</f>
        <v>2992.7565999999997</v>
      </c>
      <c r="O379" s="142"/>
      <c r="P379" s="109"/>
      <c r="Q379" s="397">
        <f t="shared" si="106"/>
        <v>0</v>
      </c>
      <c r="R379" s="307">
        <f t="shared" si="106"/>
        <v>0</v>
      </c>
    </row>
    <row r="380" spans="1:18" ht="34.5" x14ac:dyDescent="0.25">
      <c r="A380" s="378"/>
      <c r="B380" s="380" t="s">
        <v>454</v>
      </c>
      <c r="C380" s="371"/>
      <c r="D380" s="371"/>
      <c r="E380" s="371"/>
      <c r="F380" s="401" t="s">
        <v>455</v>
      </c>
      <c r="G380" s="398"/>
      <c r="H380" s="398"/>
      <c r="I380" s="399"/>
      <c r="J380" s="377"/>
      <c r="K380" s="102"/>
      <c r="L380" s="102"/>
      <c r="M380" s="350"/>
      <c r="N380" s="253">
        <f>N381</f>
        <v>2992.7565999999997</v>
      </c>
      <c r="O380" s="142"/>
      <c r="P380" s="109"/>
      <c r="Q380" s="397">
        <f t="shared" si="106"/>
        <v>0</v>
      </c>
      <c r="R380" s="307">
        <f t="shared" si="106"/>
        <v>0</v>
      </c>
    </row>
    <row r="381" spans="1:18" ht="23" x14ac:dyDescent="0.25">
      <c r="A381" s="378"/>
      <c r="B381" s="381" t="s">
        <v>427</v>
      </c>
      <c r="C381" s="371"/>
      <c r="D381" s="371"/>
      <c r="E381" s="371"/>
      <c r="F381" s="401" t="s">
        <v>455</v>
      </c>
      <c r="G381" s="398" t="s">
        <v>428</v>
      </c>
      <c r="H381" s="398"/>
      <c r="I381" s="399"/>
      <c r="J381" s="377"/>
      <c r="K381" s="102"/>
      <c r="L381" s="102"/>
      <c r="M381" s="350"/>
      <c r="N381" s="253">
        <f>N382</f>
        <v>2992.7565999999997</v>
      </c>
      <c r="O381" s="142"/>
      <c r="P381" s="109"/>
      <c r="Q381" s="397">
        <f t="shared" si="106"/>
        <v>0</v>
      </c>
      <c r="R381" s="307">
        <f t="shared" si="106"/>
        <v>0</v>
      </c>
    </row>
    <row r="382" spans="1:18" ht="23" x14ac:dyDescent="0.25">
      <c r="A382" s="378"/>
      <c r="B382" s="382" t="s">
        <v>397</v>
      </c>
      <c r="C382" s="371"/>
      <c r="D382" s="371"/>
      <c r="E382" s="371"/>
      <c r="F382" s="401" t="s">
        <v>455</v>
      </c>
      <c r="G382" s="398" t="s">
        <v>65</v>
      </c>
      <c r="H382" s="398"/>
      <c r="I382" s="399"/>
      <c r="J382" s="377"/>
      <c r="K382" s="102"/>
      <c r="L382" s="102"/>
      <c r="M382" s="350"/>
      <c r="N382" s="253">
        <f>N383</f>
        <v>2992.7565999999997</v>
      </c>
      <c r="O382" s="142"/>
      <c r="P382" s="109"/>
      <c r="Q382" s="397">
        <f t="shared" si="106"/>
        <v>0</v>
      </c>
      <c r="R382" s="307">
        <f t="shared" si="106"/>
        <v>0</v>
      </c>
    </row>
    <row r="383" spans="1:18" ht="13" x14ac:dyDescent="0.3">
      <c r="A383" s="378"/>
      <c r="B383" s="118" t="s">
        <v>192</v>
      </c>
      <c r="C383" s="371"/>
      <c r="D383" s="371"/>
      <c r="E383" s="371"/>
      <c r="F383" s="401" t="s">
        <v>455</v>
      </c>
      <c r="G383" s="398" t="s">
        <v>65</v>
      </c>
      <c r="H383" s="398" t="s">
        <v>285</v>
      </c>
      <c r="I383" s="399" t="s">
        <v>340</v>
      </c>
      <c r="J383" s="377"/>
      <c r="K383" s="102"/>
      <c r="L383" s="102"/>
      <c r="M383" s="350"/>
      <c r="N383" s="253">
        <f>1300+1692.7566</f>
        <v>2992.7565999999997</v>
      </c>
      <c r="O383" s="142"/>
      <c r="P383" s="109"/>
      <c r="Q383" s="397">
        <v>0</v>
      </c>
      <c r="R383" s="307">
        <v>0</v>
      </c>
    </row>
    <row r="384" spans="1:18" ht="25.9" customHeight="1" x14ac:dyDescent="0.25">
      <c r="A384" s="229"/>
      <c r="B384" s="242" t="s">
        <v>456</v>
      </c>
      <c r="C384" s="110"/>
      <c r="D384" s="101"/>
      <c r="E384" s="111"/>
      <c r="F384" s="111"/>
      <c r="G384" s="111"/>
      <c r="H384" s="111"/>
      <c r="I384" s="111"/>
      <c r="J384" s="402">
        <f>J385+J463+J475</f>
        <v>47038.588000000003</v>
      </c>
      <c r="K384" s="103"/>
      <c r="L384" s="102">
        <f t="shared" ref="L384:R384" si="107">L385+L463+L475</f>
        <v>28148.264999999999</v>
      </c>
      <c r="M384" s="350">
        <f t="shared" si="107"/>
        <v>29104.548000000003</v>
      </c>
      <c r="N384" s="403">
        <f>N385+N463+N475</f>
        <v>35311.993340000001</v>
      </c>
      <c r="O384" s="404">
        <f t="shared" si="107"/>
        <v>22421.825000000004</v>
      </c>
      <c r="P384" s="405">
        <f t="shared" si="107"/>
        <v>23877.43</v>
      </c>
      <c r="Q384" s="406">
        <f t="shared" si="107"/>
        <v>30013.471999999998</v>
      </c>
      <c r="R384" s="407">
        <f t="shared" si="107"/>
        <v>30123.589</v>
      </c>
    </row>
    <row r="385" spans="1:24" s="66" customFormat="1" ht="39" x14ac:dyDescent="0.3">
      <c r="A385" s="245">
        <v>13</v>
      </c>
      <c r="B385" s="148" t="s">
        <v>36</v>
      </c>
      <c r="C385" s="82"/>
      <c r="D385" s="83" t="s">
        <v>33</v>
      </c>
      <c r="E385" s="83" t="s">
        <v>39</v>
      </c>
      <c r="F385" s="84" t="s">
        <v>457</v>
      </c>
      <c r="G385" s="82"/>
      <c r="H385" s="82"/>
      <c r="I385" s="83"/>
      <c r="J385" s="408">
        <f>J392+J458+J429+J432+J436+J443+J440</f>
        <v>14363.046000000004</v>
      </c>
      <c r="K385" s="91"/>
      <c r="L385" s="91">
        <f>L392+L426+L429+L432+L436+L443+L450</f>
        <v>14872.082</v>
      </c>
      <c r="M385" s="256">
        <f>M392+M426+M429+M432+M436+M443+M450</f>
        <v>15828.365000000002</v>
      </c>
      <c r="N385" s="257">
        <f>N386+N391+N458</f>
        <v>22037.745000000003</v>
      </c>
      <c r="O385" s="258">
        <f>O395+O397+O400+O404+O415+O418+O423+O442+O445+O447+O462+O453</f>
        <v>17791.410000000003</v>
      </c>
      <c r="P385" s="87">
        <f>P395+P397+P400+P404+P415+P418+P423+P442+P445+P447+P462+P453</f>
        <v>18871.780000000002</v>
      </c>
      <c r="Q385" s="259">
        <f>Q386+Q391+Q458</f>
        <v>21581.35</v>
      </c>
      <c r="R385" s="260">
        <f>R386+R391+R458</f>
        <v>22370.437999999998</v>
      </c>
      <c r="S385" s="73"/>
      <c r="T385" s="73"/>
      <c r="U385" s="73"/>
      <c r="V385" s="73"/>
      <c r="W385" s="73"/>
      <c r="X385" s="73"/>
    </row>
    <row r="386" spans="1:24" s="66" customFormat="1" ht="30" x14ac:dyDescent="0.3">
      <c r="A386" s="245"/>
      <c r="B386" s="409" t="s">
        <v>458</v>
      </c>
      <c r="C386" s="82"/>
      <c r="D386" s="83"/>
      <c r="E386" s="83"/>
      <c r="F386" s="90" t="s">
        <v>459</v>
      </c>
      <c r="G386" s="93"/>
      <c r="H386" s="93"/>
      <c r="I386" s="89"/>
      <c r="J386" s="408"/>
      <c r="K386" s="91"/>
      <c r="L386" s="91"/>
      <c r="M386" s="256"/>
      <c r="N386" s="279">
        <f>N387</f>
        <v>1694.001</v>
      </c>
      <c r="O386" s="258"/>
      <c r="P386" s="87"/>
      <c r="Q386" s="281">
        <f t="shared" ref="Q386:R389" si="108">Q387</f>
        <v>1764.761</v>
      </c>
      <c r="R386" s="282">
        <f t="shared" si="108"/>
        <v>1832.232</v>
      </c>
      <c r="S386" s="73"/>
      <c r="T386" s="73"/>
      <c r="U386" s="73"/>
      <c r="V386" s="73"/>
      <c r="W386" s="73"/>
      <c r="X386" s="73"/>
    </row>
    <row r="387" spans="1:24" s="66" customFormat="1" ht="13" x14ac:dyDescent="0.3">
      <c r="A387" s="245"/>
      <c r="B387" s="409" t="s">
        <v>460</v>
      </c>
      <c r="C387" s="82"/>
      <c r="D387" s="83"/>
      <c r="E387" s="83"/>
      <c r="F387" s="90" t="s">
        <v>461</v>
      </c>
      <c r="G387" s="93"/>
      <c r="H387" s="93"/>
      <c r="I387" s="89"/>
      <c r="J387" s="408"/>
      <c r="K387" s="91"/>
      <c r="L387" s="91"/>
      <c r="M387" s="256"/>
      <c r="N387" s="279">
        <f>N388</f>
        <v>1694.001</v>
      </c>
      <c r="O387" s="258"/>
      <c r="P387" s="87"/>
      <c r="Q387" s="281">
        <f t="shared" si="108"/>
        <v>1764.761</v>
      </c>
      <c r="R387" s="282">
        <f t="shared" si="108"/>
        <v>1832.232</v>
      </c>
      <c r="S387" s="73"/>
      <c r="T387" s="73"/>
      <c r="U387" s="73"/>
      <c r="V387" s="73"/>
      <c r="W387" s="73"/>
      <c r="X387" s="73"/>
    </row>
    <row r="388" spans="1:24" s="66" customFormat="1" ht="20" x14ac:dyDescent="0.3">
      <c r="A388" s="245"/>
      <c r="B388" s="409" t="s">
        <v>462</v>
      </c>
      <c r="C388" s="82"/>
      <c r="D388" s="83"/>
      <c r="E388" s="83"/>
      <c r="F388" s="84" t="s">
        <v>463</v>
      </c>
      <c r="G388" s="93"/>
      <c r="H388" s="93"/>
      <c r="I388" s="89"/>
      <c r="J388" s="408"/>
      <c r="K388" s="91"/>
      <c r="L388" s="91"/>
      <c r="M388" s="256"/>
      <c r="N388" s="257">
        <f>N389</f>
        <v>1694.001</v>
      </c>
      <c r="O388" s="258"/>
      <c r="P388" s="87"/>
      <c r="Q388" s="259">
        <f t="shared" si="108"/>
        <v>1764.761</v>
      </c>
      <c r="R388" s="260">
        <f t="shared" si="108"/>
        <v>1832.232</v>
      </c>
      <c r="S388" s="73"/>
      <c r="T388" s="73"/>
      <c r="U388" s="73"/>
      <c r="V388" s="73"/>
      <c r="W388" s="73"/>
      <c r="X388" s="73"/>
    </row>
    <row r="389" spans="1:24" s="66" customFormat="1" ht="13" x14ac:dyDescent="0.3">
      <c r="A389" s="245"/>
      <c r="B389" s="410" t="s">
        <v>464</v>
      </c>
      <c r="C389" s="82"/>
      <c r="D389" s="83"/>
      <c r="E389" s="83"/>
      <c r="F389" s="90" t="s">
        <v>463</v>
      </c>
      <c r="G389" s="93">
        <v>120</v>
      </c>
      <c r="H389" s="93"/>
      <c r="I389" s="89"/>
      <c r="J389" s="408"/>
      <c r="K389" s="91"/>
      <c r="L389" s="91"/>
      <c r="M389" s="256"/>
      <c r="N389" s="279">
        <f>N390</f>
        <v>1694.001</v>
      </c>
      <c r="O389" s="258"/>
      <c r="P389" s="87"/>
      <c r="Q389" s="281">
        <f t="shared" si="108"/>
        <v>1764.761</v>
      </c>
      <c r="R389" s="282">
        <f t="shared" si="108"/>
        <v>1832.232</v>
      </c>
      <c r="S389" s="73"/>
      <c r="T389" s="73"/>
      <c r="U389" s="73"/>
      <c r="V389" s="73"/>
      <c r="W389" s="73"/>
      <c r="X389" s="73"/>
    </row>
    <row r="390" spans="1:24" s="66" customFormat="1" ht="20" x14ac:dyDescent="0.3">
      <c r="A390" s="245"/>
      <c r="B390" s="409" t="s">
        <v>465</v>
      </c>
      <c r="C390" s="82"/>
      <c r="D390" s="83"/>
      <c r="E390" s="83"/>
      <c r="F390" s="90" t="s">
        <v>463</v>
      </c>
      <c r="G390" s="93">
        <v>120</v>
      </c>
      <c r="H390" s="111" t="s">
        <v>320</v>
      </c>
      <c r="I390" s="89" t="s">
        <v>380</v>
      </c>
      <c r="J390" s="408"/>
      <c r="K390" s="91"/>
      <c r="L390" s="91"/>
      <c r="M390" s="256"/>
      <c r="N390" s="279">
        <v>1694.001</v>
      </c>
      <c r="O390" s="258"/>
      <c r="P390" s="87"/>
      <c r="Q390" s="411">
        <v>1764.761</v>
      </c>
      <c r="R390" s="412">
        <v>1832.232</v>
      </c>
      <c r="S390" s="73"/>
      <c r="T390" s="73"/>
      <c r="U390" s="73"/>
      <c r="V390" s="73"/>
      <c r="W390" s="73"/>
      <c r="X390" s="73"/>
    </row>
    <row r="391" spans="1:24" s="66" customFormat="1" ht="39" x14ac:dyDescent="0.3">
      <c r="A391" s="245"/>
      <c r="B391" s="272" t="s">
        <v>466</v>
      </c>
      <c r="C391" s="82"/>
      <c r="D391" s="83"/>
      <c r="E391" s="83"/>
      <c r="F391" s="90" t="s">
        <v>467</v>
      </c>
      <c r="G391" s="82"/>
      <c r="H391" s="82"/>
      <c r="I391" s="83"/>
      <c r="J391" s="413">
        <f>J385</f>
        <v>14363.046000000004</v>
      </c>
      <c r="K391" s="91"/>
      <c r="L391" s="91"/>
      <c r="M391" s="256"/>
      <c r="N391" s="279">
        <f>N392</f>
        <v>18817.729000000003</v>
      </c>
      <c r="O391" s="280">
        <f>O385</f>
        <v>17791.410000000003</v>
      </c>
      <c r="P391" s="97">
        <f>P385</f>
        <v>18871.780000000002</v>
      </c>
      <c r="Q391" s="290">
        <f>Q395+Q397+Q400+Q404+Q445+Q447</f>
        <v>18243.485000000001</v>
      </c>
      <c r="R391" s="291">
        <f>R395+R397+R400+R404+R445+R447</f>
        <v>18902.178</v>
      </c>
      <c r="S391" s="73"/>
      <c r="T391" s="73"/>
      <c r="U391" s="73"/>
      <c r="V391" s="73"/>
      <c r="W391" s="73"/>
      <c r="X391" s="73"/>
    </row>
    <row r="392" spans="1:24" s="66" customFormat="1" ht="13" x14ac:dyDescent="0.3">
      <c r="A392" s="271"/>
      <c r="B392" s="272" t="s">
        <v>468</v>
      </c>
      <c r="C392" s="82"/>
      <c r="D392" s="89" t="s">
        <v>33</v>
      </c>
      <c r="E392" s="89" t="s">
        <v>39</v>
      </c>
      <c r="F392" s="90" t="s">
        <v>469</v>
      </c>
      <c r="G392" s="82"/>
      <c r="H392" s="82"/>
      <c r="I392" s="89"/>
      <c r="J392" s="94">
        <f>J394+J398+J414+J417+J422</f>
        <v>12462.203000000003</v>
      </c>
      <c r="K392" s="85"/>
      <c r="L392" s="91">
        <f>L394+L398</f>
        <v>12437.288999999999</v>
      </c>
      <c r="M392" s="256">
        <f>M394+M398</f>
        <v>13307.900000000001</v>
      </c>
      <c r="N392" s="257">
        <f>N393+N413+N416+N440+N443</f>
        <v>18817.729000000003</v>
      </c>
      <c r="O392" s="280">
        <f>O394+O398+O414+O417+O422</f>
        <v>15466.985000000001</v>
      </c>
      <c r="P392" s="97">
        <f>P394+P398+P414+P417+P422</f>
        <v>16326.328000000001</v>
      </c>
      <c r="Q392" s="259">
        <f>Q395+Q397+Q400+Q404+Q445+Q447</f>
        <v>18243.485000000001</v>
      </c>
      <c r="R392" s="260">
        <f>R395+R397+R400+R404+R445+R447</f>
        <v>18902.178</v>
      </c>
      <c r="S392" s="73"/>
      <c r="T392" s="73"/>
      <c r="U392" s="73"/>
      <c r="V392" s="73"/>
      <c r="W392" s="73"/>
      <c r="X392" s="73"/>
    </row>
    <row r="393" spans="1:24" s="66" customFormat="1" ht="13" x14ac:dyDescent="0.3">
      <c r="A393" s="271"/>
      <c r="B393" s="366" t="s">
        <v>40</v>
      </c>
      <c r="C393" s="82"/>
      <c r="D393" s="89"/>
      <c r="E393" s="89"/>
      <c r="F393" s="84" t="s">
        <v>470</v>
      </c>
      <c r="G393" s="82"/>
      <c r="H393" s="82"/>
      <c r="I393" s="83"/>
      <c r="J393" s="91">
        <f>J392</f>
        <v>12462.203000000003</v>
      </c>
      <c r="K393" s="85"/>
      <c r="L393" s="91"/>
      <c r="M393" s="256"/>
      <c r="N393" s="257">
        <f>N395+N397+N400+N404+N406+N408+N409</f>
        <v>18032.635000000002</v>
      </c>
      <c r="O393" s="258">
        <f>O392</f>
        <v>15466.985000000001</v>
      </c>
      <c r="P393" s="87">
        <f>P392</f>
        <v>16326.328000000001</v>
      </c>
      <c r="Q393" s="259">
        <f>Q395+Q397+Q400+Q404</f>
        <v>18236.385000000002</v>
      </c>
      <c r="R393" s="260">
        <f>R395+R397+R400+R404</f>
        <v>18895.078000000001</v>
      </c>
      <c r="S393" s="73"/>
      <c r="T393" s="73"/>
      <c r="U393" s="73"/>
      <c r="V393" s="73"/>
      <c r="W393" s="73"/>
      <c r="X393" s="73"/>
    </row>
    <row r="394" spans="1:24" s="66" customFormat="1" ht="22.15" customHeight="1" x14ac:dyDescent="0.3">
      <c r="A394" s="271"/>
      <c r="B394" s="285" t="s">
        <v>471</v>
      </c>
      <c r="C394" s="82"/>
      <c r="D394" s="89"/>
      <c r="E394" s="89"/>
      <c r="F394" s="90" t="s">
        <v>470</v>
      </c>
      <c r="G394" s="93">
        <v>120</v>
      </c>
      <c r="H394" s="93"/>
      <c r="I394" s="83"/>
      <c r="J394" s="94">
        <f>J395+J397</f>
        <v>8197.5570000000007</v>
      </c>
      <c r="K394" s="85"/>
      <c r="L394" s="91">
        <f>L395+L397</f>
        <v>9181.8719999999994</v>
      </c>
      <c r="M394" s="256">
        <f>M395+M397</f>
        <v>9824.6040000000012</v>
      </c>
      <c r="N394" s="279">
        <f>N395+N397</f>
        <v>13980.493999999999</v>
      </c>
      <c r="O394" s="280">
        <f>O395+O397</f>
        <v>9671.2350000000006</v>
      </c>
      <c r="P394" s="97">
        <f>P395+P397</f>
        <v>10737.36</v>
      </c>
      <c r="Q394" s="281">
        <f>Q397+Q396+Q395+Q402</f>
        <v>15286.343000000001</v>
      </c>
      <c r="R394" s="282">
        <f>R397+R396+R395+R402</f>
        <v>15897.791999999999</v>
      </c>
      <c r="S394" s="73"/>
      <c r="T394" s="73"/>
      <c r="U394" s="73"/>
      <c r="V394" s="73"/>
      <c r="W394" s="73"/>
      <c r="X394" s="73"/>
    </row>
    <row r="395" spans="1:24" s="66" customFormat="1" ht="41.5" customHeight="1" x14ac:dyDescent="0.3">
      <c r="A395" s="271"/>
      <c r="B395" s="304" t="s">
        <v>38</v>
      </c>
      <c r="C395" s="82"/>
      <c r="D395" s="89" t="s">
        <v>33</v>
      </c>
      <c r="E395" s="89" t="s">
        <v>39</v>
      </c>
      <c r="F395" s="90" t="s">
        <v>470</v>
      </c>
      <c r="G395" s="93">
        <v>120</v>
      </c>
      <c r="H395" s="111" t="s">
        <v>320</v>
      </c>
      <c r="I395" s="89" t="s">
        <v>340</v>
      </c>
      <c r="J395" s="94">
        <f>807.519+241.455</f>
        <v>1048.9739999999999</v>
      </c>
      <c r="K395" s="91"/>
      <c r="L395" s="95">
        <v>1378.2239999999999</v>
      </c>
      <c r="M395" s="414">
        <v>1474.6990000000001</v>
      </c>
      <c r="N395" s="279">
        <v>955.79899999999998</v>
      </c>
      <c r="O395" s="280">
        <v>672.428</v>
      </c>
      <c r="P395" s="97">
        <v>739.67200000000003</v>
      </c>
      <c r="Q395" s="281">
        <v>994.03099999999995</v>
      </c>
      <c r="R395" s="282">
        <v>1033.7919999999999</v>
      </c>
      <c r="S395" s="73"/>
      <c r="T395" s="73"/>
      <c r="U395" s="73"/>
      <c r="V395" s="73"/>
      <c r="W395" s="73"/>
      <c r="X395" s="73"/>
    </row>
    <row r="396" spans="1:24" s="66" customFormat="1" ht="41.5" hidden="1" customHeight="1" x14ac:dyDescent="0.3">
      <c r="A396" s="271"/>
      <c r="B396" s="415" t="s">
        <v>472</v>
      </c>
      <c r="C396" s="82"/>
      <c r="D396" s="89"/>
      <c r="E396" s="89"/>
      <c r="F396" s="90" t="s">
        <v>473</v>
      </c>
      <c r="G396" s="93">
        <v>120</v>
      </c>
      <c r="H396" s="111" t="s">
        <v>320</v>
      </c>
      <c r="I396" s="89" t="s">
        <v>340</v>
      </c>
      <c r="J396" s="94"/>
      <c r="K396" s="85"/>
      <c r="L396" s="98"/>
      <c r="M396" s="278"/>
      <c r="N396" s="279">
        <v>0</v>
      </c>
      <c r="O396" s="280"/>
      <c r="P396" s="97"/>
      <c r="Q396" s="281">
        <v>0</v>
      </c>
      <c r="R396" s="282">
        <v>0</v>
      </c>
      <c r="S396" s="73"/>
      <c r="T396" s="73"/>
      <c r="U396" s="73"/>
      <c r="V396" s="73"/>
      <c r="W396" s="73"/>
      <c r="X396" s="73"/>
    </row>
    <row r="397" spans="1:24" ht="41.5" customHeight="1" x14ac:dyDescent="0.3">
      <c r="A397" s="229"/>
      <c r="B397" s="416" t="s">
        <v>43</v>
      </c>
      <c r="C397" s="101"/>
      <c r="D397" s="101" t="s">
        <v>33</v>
      </c>
      <c r="E397" s="101" t="s">
        <v>45</v>
      </c>
      <c r="F397" s="90" t="s">
        <v>470</v>
      </c>
      <c r="G397" s="101">
        <v>120</v>
      </c>
      <c r="H397" s="111" t="s">
        <v>320</v>
      </c>
      <c r="I397" s="89" t="s">
        <v>298</v>
      </c>
      <c r="J397" s="95">
        <f>5450.283+1.2+1697.1</f>
        <v>7148.5830000000005</v>
      </c>
      <c r="K397" s="95"/>
      <c r="L397" s="95">
        <v>7803.6480000000001</v>
      </c>
      <c r="M397" s="417">
        <v>8349.9050000000007</v>
      </c>
      <c r="N397" s="253">
        <f>13742.608-127.234-577.264-13.415</f>
        <v>13024.695</v>
      </c>
      <c r="O397" s="142">
        <v>8998.8070000000007</v>
      </c>
      <c r="P397" s="109">
        <v>9997.6880000000001</v>
      </c>
      <c r="Q397" s="254">
        <v>14292.312</v>
      </c>
      <c r="R397" s="255">
        <v>14864</v>
      </c>
    </row>
    <row r="398" spans="1:24" s="66" customFormat="1" ht="29.5" customHeight="1" x14ac:dyDescent="0.3">
      <c r="A398" s="271"/>
      <c r="B398" s="262" t="s">
        <v>283</v>
      </c>
      <c r="C398" s="82"/>
      <c r="D398" s="89" t="s">
        <v>33</v>
      </c>
      <c r="E398" s="89" t="s">
        <v>39</v>
      </c>
      <c r="F398" s="90" t="s">
        <v>470</v>
      </c>
      <c r="G398" s="93">
        <v>240</v>
      </c>
      <c r="H398" s="93"/>
      <c r="I398" s="83"/>
      <c r="J398" s="94">
        <f>J400+J404</f>
        <v>3612.3460000000005</v>
      </c>
      <c r="K398" s="85"/>
      <c r="L398" s="85">
        <f t="shared" ref="L398:R398" si="109">L400+L404</f>
        <v>3255.4169999999999</v>
      </c>
      <c r="M398" s="276">
        <f t="shared" si="109"/>
        <v>3483.2959999999998</v>
      </c>
      <c r="N398" s="279">
        <f>N400+N404</f>
        <v>4002.3490000000002</v>
      </c>
      <c r="O398" s="280">
        <f t="shared" si="109"/>
        <v>5795.75</v>
      </c>
      <c r="P398" s="97">
        <f t="shared" si="109"/>
        <v>5588.9679999999998</v>
      </c>
      <c r="Q398" s="281">
        <f t="shared" si="109"/>
        <v>2950.0419999999999</v>
      </c>
      <c r="R398" s="282">
        <f t="shared" si="109"/>
        <v>2997.2860000000001</v>
      </c>
      <c r="S398" s="73"/>
      <c r="T398" s="73"/>
      <c r="U398" s="73"/>
      <c r="V398" s="73"/>
      <c r="W398" s="73"/>
      <c r="X398" s="73"/>
    </row>
    <row r="399" spans="1:24" s="66" customFormat="1" ht="28.9" hidden="1" customHeight="1" x14ac:dyDescent="0.3">
      <c r="A399" s="271"/>
      <c r="B399" s="262" t="s">
        <v>283</v>
      </c>
      <c r="C399" s="82"/>
      <c r="D399" s="89"/>
      <c r="E399" s="89"/>
      <c r="F399" s="90" t="s">
        <v>470</v>
      </c>
      <c r="G399" s="93">
        <v>240</v>
      </c>
      <c r="H399" s="93"/>
      <c r="I399" s="89"/>
      <c r="J399" s="94">
        <f>J400</f>
        <v>1338.8210000000001</v>
      </c>
      <c r="K399" s="85"/>
      <c r="L399" s="85"/>
      <c r="M399" s="276"/>
      <c r="N399" s="279">
        <f>N400</f>
        <v>1229.5990000000002</v>
      </c>
      <c r="O399" s="280">
        <f>O400</f>
        <v>1199.08</v>
      </c>
      <c r="P399" s="97">
        <f>P400</f>
        <v>1171.8689999999999</v>
      </c>
      <c r="Q399" s="281">
        <f>Q400</f>
        <v>964.28800000000001</v>
      </c>
      <c r="R399" s="282">
        <f>R400</f>
        <v>1005.98</v>
      </c>
      <c r="S399" s="73"/>
      <c r="T399" s="73"/>
      <c r="U399" s="73"/>
      <c r="V399" s="73"/>
      <c r="W399" s="73"/>
      <c r="X399" s="73"/>
    </row>
    <row r="400" spans="1:24" s="66" customFormat="1" ht="43.15" customHeight="1" x14ac:dyDescent="0.3">
      <c r="A400" s="271"/>
      <c r="B400" s="304" t="s">
        <v>38</v>
      </c>
      <c r="C400" s="82"/>
      <c r="D400" s="89"/>
      <c r="E400" s="89"/>
      <c r="F400" s="90" t="s">
        <v>470</v>
      </c>
      <c r="G400" s="93">
        <v>240</v>
      </c>
      <c r="H400" s="111" t="s">
        <v>320</v>
      </c>
      <c r="I400" s="89" t="s">
        <v>340</v>
      </c>
      <c r="J400" s="94">
        <f>2387.795-1048.974</f>
        <v>1338.8210000000001</v>
      </c>
      <c r="K400" s="85"/>
      <c r="L400" s="98">
        <v>906.91</v>
      </c>
      <c r="M400" s="278">
        <v>970.39300000000003</v>
      </c>
      <c r="N400" s="279">
        <f>925.085+419.814-30-85.3</f>
        <v>1229.5990000000002</v>
      </c>
      <c r="O400" s="280">
        <v>1199.08</v>
      </c>
      <c r="P400" s="97">
        <v>1171.8689999999999</v>
      </c>
      <c r="Q400" s="281">
        <v>964.28800000000001</v>
      </c>
      <c r="R400" s="282">
        <v>1005.98</v>
      </c>
      <c r="S400" s="73"/>
      <c r="T400" s="73"/>
      <c r="U400" s="73"/>
      <c r="V400" s="73"/>
      <c r="W400" s="73"/>
      <c r="X400" s="73"/>
    </row>
    <row r="401" spans="1:256" s="66" customFormat="1" ht="20.25" hidden="1" customHeight="1" x14ac:dyDescent="0.3">
      <c r="A401" s="271"/>
      <c r="B401" s="418" t="s">
        <v>88</v>
      </c>
      <c r="C401" s="82"/>
      <c r="D401" s="89"/>
      <c r="E401" s="89"/>
      <c r="F401" s="90" t="s">
        <v>470</v>
      </c>
      <c r="G401" s="93">
        <v>850</v>
      </c>
      <c r="H401" s="111" t="s">
        <v>320</v>
      </c>
      <c r="I401" s="89" t="s">
        <v>340</v>
      </c>
      <c r="J401" s="94"/>
      <c r="K401" s="85"/>
      <c r="L401" s="98"/>
      <c r="M401" s="278"/>
      <c r="N401" s="279"/>
      <c r="O401" s="280"/>
      <c r="P401" s="97"/>
      <c r="Q401" s="281"/>
      <c r="R401" s="282"/>
      <c r="S401" s="73"/>
      <c r="T401" s="73"/>
      <c r="U401" s="73"/>
      <c r="V401" s="73"/>
      <c r="W401" s="73"/>
      <c r="X401" s="73"/>
    </row>
    <row r="402" spans="1:256" s="66" customFormat="1" ht="26.25" hidden="1" customHeight="1" x14ac:dyDescent="0.3">
      <c r="A402" s="271"/>
      <c r="B402" s="304" t="s">
        <v>464</v>
      </c>
      <c r="C402" s="82"/>
      <c r="D402" s="89"/>
      <c r="E402" s="89"/>
      <c r="F402" s="90" t="s">
        <v>473</v>
      </c>
      <c r="G402" s="93">
        <v>120</v>
      </c>
      <c r="H402" s="111" t="s">
        <v>320</v>
      </c>
      <c r="I402" s="89" t="s">
        <v>340</v>
      </c>
      <c r="J402" s="94"/>
      <c r="K402" s="85"/>
      <c r="L402" s="98"/>
      <c r="M402" s="278"/>
      <c r="N402" s="279">
        <v>0</v>
      </c>
      <c r="O402" s="280"/>
      <c r="P402" s="97"/>
      <c r="Q402" s="281">
        <v>0</v>
      </c>
      <c r="R402" s="282">
        <v>0</v>
      </c>
      <c r="S402" s="73"/>
      <c r="T402" s="73"/>
      <c r="U402" s="73"/>
      <c r="V402" s="73"/>
      <c r="W402" s="73"/>
      <c r="X402" s="73"/>
    </row>
    <row r="403" spans="1:256" s="66" customFormat="1" ht="27" hidden="1" customHeight="1" x14ac:dyDescent="0.3">
      <c r="A403" s="271"/>
      <c r="B403" s="262" t="s">
        <v>283</v>
      </c>
      <c r="C403" s="82"/>
      <c r="D403" s="89"/>
      <c r="E403" s="89"/>
      <c r="F403" s="90" t="s">
        <v>470</v>
      </c>
      <c r="G403" s="101">
        <v>240</v>
      </c>
      <c r="H403" s="101"/>
      <c r="I403" s="101"/>
      <c r="J403" s="95">
        <f>J404</f>
        <v>2273.5250000000001</v>
      </c>
      <c r="K403" s="85"/>
      <c r="L403" s="98"/>
      <c r="M403" s="278"/>
      <c r="N403" s="253">
        <f>N404</f>
        <v>2772.75</v>
      </c>
      <c r="O403" s="142">
        <f>O404</f>
        <v>4596.67</v>
      </c>
      <c r="P403" s="109">
        <f>P404</f>
        <v>4417.0990000000002</v>
      </c>
      <c r="Q403" s="254">
        <f>Q404</f>
        <v>1985.7539999999999</v>
      </c>
      <c r="R403" s="255">
        <f>R404</f>
        <v>1991.306</v>
      </c>
      <c r="S403" s="73"/>
      <c r="T403" s="73"/>
      <c r="U403" s="73"/>
      <c r="V403" s="73"/>
      <c r="W403" s="73"/>
      <c r="X403" s="73"/>
    </row>
    <row r="404" spans="1:256" ht="39" customHeight="1" x14ac:dyDescent="0.3">
      <c r="A404" s="229"/>
      <c r="B404" s="302" t="s">
        <v>43</v>
      </c>
      <c r="C404" s="101"/>
      <c r="D404" s="101" t="s">
        <v>33</v>
      </c>
      <c r="E404" s="101" t="s">
        <v>45</v>
      </c>
      <c r="F404" s="90" t="s">
        <v>470</v>
      </c>
      <c r="G404" s="101">
        <v>240</v>
      </c>
      <c r="H404" s="111" t="s">
        <v>320</v>
      </c>
      <c r="I404" s="89" t="s">
        <v>298</v>
      </c>
      <c r="J404" s="95">
        <v>2273.5250000000001</v>
      </c>
      <c r="K404" s="95"/>
      <c r="L404" s="419">
        <v>2348.5070000000001</v>
      </c>
      <c r="M404" s="420">
        <v>2512.9029999999998</v>
      </c>
      <c r="N404" s="253">
        <f>1457.645+127.234+648.9+477.265+61.706</f>
        <v>2772.75</v>
      </c>
      <c r="O404" s="142">
        <v>4596.67</v>
      </c>
      <c r="P404" s="109">
        <v>4417.0990000000002</v>
      </c>
      <c r="Q404" s="254">
        <v>1985.7539999999999</v>
      </c>
      <c r="R404" s="255">
        <v>1991.306</v>
      </c>
    </row>
    <row r="405" spans="1:256" ht="39" customHeight="1" x14ac:dyDescent="0.25">
      <c r="A405" s="229"/>
      <c r="B405" s="421" t="s">
        <v>474</v>
      </c>
      <c r="C405" s="101"/>
      <c r="D405" s="101"/>
      <c r="E405" s="101"/>
      <c r="F405" s="90" t="s">
        <v>470</v>
      </c>
      <c r="G405" s="93">
        <v>830</v>
      </c>
      <c r="H405" s="111"/>
      <c r="I405" s="89"/>
      <c r="J405" s="95"/>
      <c r="K405" s="95"/>
      <c r="L405" s="419"/>
      <c r="M405" s="420"/>
      <c r="N405" s="253">
        <f>N406</f>
        <v>34.792000000000002</v>
      </c>
      <c r="O405" s="142"/>
      <c r="P405" s="109"/>
      <c r="Q405" s="306">
        <f>Q406</f>
        <v>0</v>
      </c>
      <c r="R405" s="307">
        <f>R406</f>
        <v>0</v>
      </c>
    </row>
    <row r="406" spans="1:256" ht="39" customHeight="1" x14ac:dyDescent="0.3">
      <c r="A406" s="229"/>
      <c r="B406" s="304" t="s">
        <v>38</v>
      </c>
      <c r="C406" s="101"/>
      <c r="D406" s="101"/>
      <c r="E406" s="101"/>
      <c r="F406" s="90" t="s">
        <v>470</v>
      </c>
      <c r="G406" s="93">
        <v>830</v>
      </c>
      <c r="H406" s="111" t="s">
        <v>320</v>
      </c>
      <c r="I406" s="89" t="s">
        <v>340</v>
      </c>
      <c r="J406" s="95"/>
      <c r="K406" s="95"/>
      <c r="L406" s="419"/>
      <c r="M406" s="420"/>
      <c r="N406" s="253">
        <f>4.792+30</f>
        <v>34.792000000000002</v>
      </c>
      <c r="O406" s="142"/>
      <c r="P406" s="109"/>
      <c r="Q406" s="306">
        <v>0</v>
      </c>
      <c r="R406" s="307">
        <v>0</v>
      </c>
    </row>
    <row r="407" spans="1:256" ht="39" customHeight="1" x14ac:dyDescent="0.25">
      <c r="A407" s="229"/>
      <c r="B407" s="418" t="s">
        <v>88</v>
      </c>
      <c r="C407" s="101"/>
      <c r="D407" s="101"/>
      <c r="E407" s="101"/>
      <c r="F407" s="90" t="s">
        <v>470</v>
      </c>
      <c r="G407" s="93">
        <v>850</v>
      </c>
      <c r="H407" s="111"/>
      <c r="I407" s="89"/>
      <c r="J407" s="95"/>
      <c r="K407" s="95"/>
      <c r="L407" s="419"/>
      <c r="M407" s="420"/>
      <c r="N407" s="253">
        <f>N408+N409</f>
        <v>15</v>
      </c>
      <c r="O407" s="142"/>
      <c r="P407" s="109"/>
      <c r="Q407" s="306">
        <f>Q408+Q409</f>
        <v>0</v>
      </c>
      <c r="R407" s="307">
        <f>R408+R409</f>
        <v>0</v>
      </c>
    </row>
    <row r="408" spans="1:256" ht="39" customHeight="1" x14ac:dyDescent="0.3">
      <c r="A408" s="229"/>
      <c r="B408" s="304" t="s">
        <v>38</v>
      </c>
      <c r="C408" s="82"/>
      <c r="D408" s="89"/>
      <c r="E408" s="89"/>
      <c r="F408" s="90" t="s">
        <v>470</v>
      </c>
      <c r="G408" s="93">
        <v>850</v>
      </c>
      <c r="H408" s="111" t="s">
        <v>320</v>
      </c>
      <c r="I408" s="89" t="s">
        <v>340</v>
      </c>
      <c r="J408" s="94"/>
      <c r="K408" s="85"/>
      <c r="L408" s="98"/>
      <c r="M408" s="278"/>
      <c r="N408" s="279">
        <v>5</v>
      </c>
      <c r="O408" s="142"/>
      <c r="P408" s="109"/>
      <c r="Q408" s="422">
        <v>0</v>
      </c>
      <c r="R408" s="423">
        <v>0</v>
      </c>
    </row>
    <row r="409" spans="1:256" ht="38.5" customHeight="1" x14ac:dyDescent="0.3">
      <c r="A409" s="229"/>
      <c r="B409" s="302" t="s">
        <v>43</v>
      </c>
      <c r="C409" s="101"/>
      <c r="D409" s="101"/>
      <c r="E409" s="101"/>
      <c r="F409" s="90" t="s">
        <v>470</v>
      </c>
      <c r="G409" s="101">
        <v>850</v>
      </c>
      <c r="H409" s="111" t="s">
        <v>320</v>
      </c>
      <c r="I409" s="89" t="s">
        <v>298</v>
      </c>
      <c r="J409" s="95"/>
      <c r="K409" s="95"/>
      <c r="L409" s="95"/>
      <c r="M409" s="263"/>
      <c r="N409" s="253">
        <v>10</v>
      </c>
      <c r="O409" s="142"/>
      <c r="P409" s="109"/>
      <c r="Q409" s="306">
        <v>0</v>
      </c>
      <c r="R409" s="307">
        <v>0</v>
      </c>
    </row>
    <row r="410" spans="1:256" ht="21" hidden="1" customHeight="1" x14ac:dyDescent="0.3">
      <c r="A410" s="229"/>
      <c r="B410" s="285" t="s">
        <v>42</v>
      </c>
      <c r="C410" s="101"/>
      <c r="D410" s="101" t="s">
        <v>33</v>
      </c>
      <c r="E410" s="101" t="s">
        <v>45</v>
      </c>
      <c r="F410" s="101">
        <v>9100004</v>
      </c>
      <c r="G410" s="101">
        <v>240</v>
      </c>
      <c r="H410" s="101"/>
      <c r="I410" s="101" t="s">
        <v>45</v>
      </c>
      <c r="J410" s="95">
        <v>2215.5729999999999</v>
      </c>
      <c r="K410" s="95"/>
      <c r="L410" s="95">
        <f>J410*106%</f>
        <v>2348.50738</v>
      </c>
      <c r="M410" s="263">
        <f>L410*107%</f>
        <v>2512.9028966000001</v>
      </c>
      <c r="N410" s="253">
        <v>2215.5729999999999</v>
      </c>
      <c r="O410" s="142">
        <v>2215.5729999999999</v>
      </c>
      <c r="P410" s="109">
        <v>2215.5729999999999</v>
      </c>
      <c r="Q410" s="306">
        <v>2215.5729999999999</v>
      </c>
      <c r="R410" s="307">
        <v>2215.5729999999999</v>
      </c>
    </row>
    <row r="411" spans="1:256" ht="21" hidden="1" customHeight="1" x14ac:dyDescent="0.3">
      <c r="A411" s="229"/>
      <c r="B411" s="285"/>
      <c r="C411" s="101"/>
      <c r="D411" s="101"/>
      <c r="E411" s="101"/>
      <c r="F411" s="101"/>
      <c r="G411" s="101"/>
      <c r="H411" s="101"/>
      <c r="I411" s="101"/>
      <c r="J411" s="95"/>
      <c r="K411" s="95"/>
      <c r="L411" s="95"/>
      <c r="M411" s="263"/>
      <c r="N411" s="253"/>
      <c r="O411" s="142"/>
      <c r="P411" s="109"/>
      <c r="Q411" s="306"/>
      <c r="R411" s="307"/>
    </row>
    <row r="412" spans="1:256" ht="21" hidden="1" customHeight="1" x14ac:dyDescent="0.3">
      <c r="A412" s="229"/>
      <c r="B412" s="285"/>
      <c r="C412" s="101"/>
      <c r="D412" s="101"/>
      <c r="E412" s="101"/>
      <c r="F412" s="101">
        <v>9100004</v>
      </c>
      <c r="G412" s="101"/>
      <c r="H412" s="101"/>
      <c r="I412" s="101" t="s">
        <v>45</v>
      </c>
      <c r="J412" s="95" t="e">
        <f>#REF!+J404</f>
        <v>#REF!</v>
      </c>
      <c r="K412" s="95"/>
      <c r="L412" s="95" t="e">
        <f>#REF!+L404</f>
        <v>#REF!</v>
      </c>
      <c r="M412" s="263" t="e">
        <f>#REF!+M404</f>
        <v>#REF!</v>
      </c>
      <c r="N412" s="253" t="e">
        <f>#REF!+N404</f>
        <v>#REF!</v>
      </c>
      <c r="O412" s="142" t="e">
        <f>#REF!+O404</f>
        <v>#REF!</v>
      </c>
      <c r="P412" s="109" t="e">
        <f>#REF!+P404</f>
        <v>#REF!</v>
      </c>
      <c r="Q412" s="306" t="e">
        <f>#REF!+Q404</f>
        <v>#REF!</v>
      </c>
      <c r="R412" s="307" t="e">
        <f>#REF!+R404</f>
        <v>#REF!</v>
      </c>
    </row>
    <row r="413" spans="1:256" ht="39" x14ac:dyDescent="0.3">
      <c r="A413" s="229"/>
      <c r="B413" s="304" t="s">
        <v>475</v>
      </c>
      <c r="C413" s="101"/>
      <c r="D413" s="101"/>
      <c r="E413" s="101"/>
      <c r="F413" s="84" t="s">
        <v>476</v>
      </c>
      <c r="G413" s="60"/>
      <c r="H413" s="60"/>
      <c r="I413" s="60"/>
      <c r="J413" s="102">
        <f>J414</f>
        <v>179.7</v>
      </c>
      <c r="K413" s="102"/>
      <c r="L413" s="102"/>
      <c r="M413" s="264"/>
      <c r="N413" s="248">
        <f t="shared" ref="N413:P414" si="110">N414</f>
        <v>50.6</v>
      </c>
      <c r="O413" s="265">
        <f t="shared" si="110"/>
        <v>0</v>
      </c>
      <c r="P413" s="105">
        <f t="shared" si="110"/>
        <v>0</v>
      </c>
      <c r="Q413" s="424">
        <f>Q414</f>
        <v>0</v>
      </c>
      <c r="R413" s="396">
        <f>R414</f>
        <v>0</v>
      </c>
    </row>
    <row r="414" spans="1:256" ht="13" x14ac:dyDescent="0.3">
      <c r="A414" s="229"/>
      <c r="B414" s="304" t="s">
        <v>56</v>
      </c>
      <c r="C414" s="101"/>
      <c r="D414" s="101"/>
      <c r="E414" s="101"/>
      <c r="F414" s="90" t="s">
        <v>476</v>
      </c>
      <c r="G414" s="101">
        <v>540</v>
      </c>
      <c r="H414" s="101"/>
      <c r="I414" s="101"/>
      <c r="J414" s="95">
        <f>J415</f>
        <v>179.7</v>
      </c>
      <c r="K414" s="95"/>
      <c r="L414" s="95"/>
      <c r="M414" s="263"/>
      <c r="N414" s="253">
        <f t="shared" si="110"/>
        <v>50.6</v>
      </c>
      <c r="O414" s="142">
        <f t="shared" si="110"/>
        <v>0</v>
      </c>
      <c r="P414" s="109">
        <f t="shared" si="110"/>
        <v>0</v>
      </c>
      <c r="Q414" s="306">
        <f>Q415</f>
        <v>0</v>
      </c>
      <c r="R414" s="307">
        <f>R415</f>
        <v>0</v>
      </c>
    </row>
    <row r="415" spans="1:256" s="10" customFormat="1" ht="39" x14ac:dyDescent="0.3">
      <c r="A415" s="229"/>
      <c r="B415" s="416" t="s">
        <v>43</v>
      </c>
      <c r="C415" s="101"/>
      <c r="D415" s="101"/>
      <c r="E415" s="101"/>
      <c r="F415" s="90" t="s">
        <v>476</v>
      </c>
      <c r="G415" s="101">
        <v>540</v>
      </c>
      <c r="H415" s="111" t="s">
        <v>320</v>
      </c>
      <c r="I415" s="89" t="s">
        <v>298</v>
      </c>
      <c r="J415" s="95">
        <v>179.7</v>
      </c>
      <c r="K415" s="95"/>
      <c r="L415" s="95"/>
      <c r="M415" s="263"/>
      <c r="N415" s="253">
        <v>50.6</v>
      </c>
      <c r="O415" s="142"/>
      <c r="P415" s="109"/>
      <c r="Q415" s="306">
        <v>0</v>
      </c>
      <c r="R415" s="307">
        <v>0</v>
      </c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0" customFormat="1" ht="39" x14ac:dyDescent="0.25">
      <c r="A416" s="229"/>
      <c r="B416" s="425" t="s">
        <v>477</v>
      </c>
      <c r="C416" s="101"/>
      <c r="D416" s="101"/>
      <c r="E416" s="101"/>
      <c r="F416" s="84" t="s">
        <v>478</v>
      </c>
      <c r="G416" s="60"/>
      <c r="H416" s="60"/>
      <c r="I416" s="60"/>
      <c r="J416" s="102">
        <f>J417</f>
        <v>303</v>
      </c>
      <c r="K416" s="102"/>
      <c r="L416" s="102"/>
      <c r="M416" s="264"/>
      <c r="N416" s="248">
        <f t="shared" ref="N416:P417" si="111">N417</f>
        <v>307.5</v>
      </c>
      <c r="O416" s="265">
        <f t="shared" si="111"/>
        <v>0</v>
      </c>
      <c r="P416" s="105">
        <f t="shared" si="111"/>
        <v>0</v>
      </c>
      <c r="Q416" s="424">
        <f>Q417</f>
        <v>0</v>
      </c>
      <c r="R416" s="396">
        <f>R417</f>
        <v>0</v>
      </c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0" customFormat="1" ht="13" x14ac:dyDescent="0.25">
      <c r="A417" s="229"/>
      <c r="B417" s="425" t="s">
        <v>479</v>
      </c>
      <c r="C417" s="101"/>
      <c r="D417" s="101"/>
      <c r="E417" s="101"/>
      <c r="F417" s="90" t="s">
        <v>478</v>
      </c>
      <c r="G417" s="101">
        <v>540</v>
      </c>
      <c r="H417" s="101"/>
      <c r="I417" s="101"/>
      <c r="J417" s="95">
        <f>J418</f>
        <v>303</v>
      </c>
      <c r="K417" s="95"/>
      <c r="L417" s="95"/>
      <c r="M417" s="263"/>
      <c r="N417" s="253">
        <f t="shared" si="111"/>
        <v>307.5</v>
      </c>
      <c r="O417" s="142">
        <f t="shared" si="111"/>
        <v>0</v>
      </c>
      <c r="P417" s="109">
        <f t="shared" si="111"/>
        <v>0</v>
      </c>
      <c r="Q417" s="306">
        <f>Q418</f>
        <v>0</v>
      </c>
      <c r="R417" s="307">
        <f>R418</f>
        <v>0</v>
      </c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0" customFormat="1" ht="39" x14ac:dyDescent="0.3">
      <c r="A418" s="229"/>
      <c r="B418" s="416" t="s">
        <v>43</v>
      </c>
      <c r="C418" s="101"/>
      <c r="D418" s="101"/>
      <c r="E418" s="101"/>
      <c r="F418" s="90" t="s">
        <v>478</v>
      </c>
      <c r="G418" s="101">
        <v>540</v>
      </c>
      <c r="H418" s="111" t="s">
        <v>320</v>
      </c>
      <c r="I418" s="89" t="s">
        <v>298</v>
      </c>
      <c r="J418" s="95">
        <v>303</v>
      </c>
      <c r="K418" s="95"/>
      <c r="L418" s="95"/>
      <c r="M418" s="263"/>
      <c r="N418" s="253">
        <v>307.5</v>
      </c>
      <c r="O418" s="142"/>
      <c r="P418" s="109"/>
      <c r="Q418" s="306">
        <v>0</v>
      </c>
      <c r="R418" s="307">
        <v>0</v>
      </c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0" customFormat="1" ht="39" hidden="1" x14ac:dyDescent="0.25">
      <c r="A419" s="229"/>
      <c r="B419" s="303" t="s">
        <v>480</v>
      </c>
      <c r="C419" s="101"/>
      <c r="D419" s="101"/>
      <c r="E419" s="101"/>
      <c r="F419" s="90" t="s">
        <v>481</v>
      </c>
      <c r="G419" s="101">
        <v>540</v>
      </c>
      <c r="H419" s="101"/>
      <c r="I419" s="101"/>
      <c r="J419" s="95"/>
      <c r="K419" s="95"/>
      <c r="L419" s="95"/>
      <c r="M419" s="263"/>
      <c r="N419" s="253"/>
      <c r="O419" s="142"/>
      <c r="P419" s="109"/>
      <c r="Q419" s="306"/>
      <c r="R419" s="307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0" customFormat="1" ht="39" hidden="1" x14ac:dyDescent="0.3">
      <c r="A420" s="229"/>
      <c r="B420" s="416" t="s">
        <v>43</v>
      </c>
      <c r="C420" s="101"/>
      <c r="D420" s="101"/>
      <c r="E420" s="101"/>
      <c r="F420" s="90" t="s">
        <v>481</v>
      </c>
      <c r="G420" s="101">
        <v>540</v>
      </c>
      <c r="H420" s="101"/>
      <c r="I420" s="101" t="s">
        <v>45</v>
      </c>
      <c r="J420" s="95"/>
      <c r="K420" s="95"/>
      <c r="L420" s="95"/>
      <c r="M420" s="263"/>
      <c r="N420" s="253"/>
      <c r="O420" s="142"/>
      <c r="P420" s="109"/>
      <c r="Q420" s="306"/>
      <c r="R420" s="307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0" customFormat="1" ht="65" hidden="1" x14ac:dyDescent="0.25">
      <c r="A421" s="229"/>
      <c r="B421" s="426" t="s">
        <v>482</v>
      </c>
      <c r="C421" s="101"/>
      <c r="D421" s="101"/>
      <c r="E421" s="101"/>
      <c r="F421" s="84" t="s">
        <v>483</v>
      </c>
      <c r="G421" s="60"/>
      <c r="H421" s="60"/>
      <c r="I421" s="60"/>
      <c r="J421" s="102">
        <f>J422</f>
        <v>169.6</v>
      </c>
      <c r="K421" s="102"/>
      <c r="L421" s="102"/>
      <c r="M421" s="264"/>
      <c r="N421" s="248">
        <f t="shared" ref="N421:R422" si="112">N422</f>
        <v>0</v>
      </c>
      <c r="O421" s="265">
        <f t="shared" si="112"/>
        <v>0</v>
      </c>
      <c r="P421" s="105">
        <f t="shared" si="112"/>
        <v>0</v>
      </c>
      <c r="Q421" s="424">
        <f t="shared" si="112"/>
        <v>0</v>
      </c>
      <c r="R421" s="396">
        <f t="shared" si="112"/>
        <v>0</v>
      </c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0" customFormat="1" ht="13" hidden="1" x14ac:dyDescent="0.25">
      <c r="A422" s="229"/>
      <c r="B422" s="426" t="s">
        <v>479</v>
      </c>
      <c r="C422" s="101"/>
      <c r="D422" s="101"/>
      <c r="E422" s="101"/>
      <c r="F422" s="90" t="s">
        <v>483</v>
      </c>
      <c r="G422" s="101">
        <v>540</v>
      </c>
      <c r="H422" s="101"/>
      <c r="I422" s="101"/>
      <c r="J422" s="95">
        <f>J423</f>
        <v>169.6</v>
      </c>
      <c r="K422" s="95"/>
      <c r="L422" s="95"/>
      <c r="M422" s="263"/>
      <c r="N422" s="253">
        <f t="shared" si="112"/>
        <v>0</v>
      </c>
      <c r="O422" s="142">
        <f t="shared" si="112"/>
        <v>0</v>
      </c>
      <c r="P422" s="109">
        <f t="shared" si="112"/>
        <v>0</v>
      </c>
      <c r="Q422" s="306">
        <f t="shared" si="112"/>
        <v>0</v>
      </c>
      <c r="R422" s="307">
        <f t="shared" si="112"/>
        <v>0</v>
      </c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0" customFormat="1" ht="39" hidden="1" x14ac:dyDescent="0.3">
      <c r="A423" s="229"/>
      <c r="B423" s="416" t="s">
        <v>43</v>
      </c>
      <c r="C423" s="101"/>
      <c r="D423" s="101"/>
      <c r="E423" s="101"/>
      <c r="F423" s="90" t="s">
        <v>483</v>
      </c>
      <c r="G423" s="101">
        <v>540</v>
      </c>
      <c r="H423" s="111" t="s">
        <v>320</v>
      </c>
      <c r="I423" s="89" t="s">
        <v>298</v>
      </c>
      <c r="J423" s="95">
        <v>169.6</v>
      </c>
      <c r="K423" s="95"/>
      <c r="L423" s="95"/>
      <c r="M423" s="263"/>
      <c r="N423" s="253">
        <v>0</v>
      </c>
      <c r="O423" s="142"/>
      <c r="P423" s="109"/>
      <c r="Q423" s="306">
        <v>0</v>
      </c>
      <c r="R423" s="307">
        <v>0</v>
      </c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0" customFormat="1" ht="52" hidden="1" x14ac:dyDescent="0.25">
      <c r="A424" s="229"/>
      <c r="B424" s="272" t="s">
        <v>484</v>
      </c>
      <c r="C424" s="101"/>
      <c r="D424" s="101"/>
      <c r="E424" s="101"/>
      <c r="F424" s="110" t="s">
        <v>485</v>
      </c>
      <c r="G424" s="101"/>
      <c r="H424" s="101"/>
      <c r="I424" s="101"/>
      <c r="J424" s="102">
        <f>J425</f>
        <v>0</v>
      </c>
      <c r="K424" s="95"/>
      <c r="L424" s="95"/>
      <c r="M424" s="263"/>
      <c r="N424" s="248">
        <f t="shared" ref="N424:R427" si="113">N425</f>
        <v>0</v>
      </c>
      <c r="O424" s="265">
        <f t="shared" si="113"/>
        <v>0</v>
      </c>
      <c r="P424" s="105">
        <f t="shared" si="113"/>
        <v>0</v>
      </c>
      <c r="Q424" s="424">
        <f t="shared" si="113"/>
        <v>0</v>
      </c>
      <c r="R424" s="396">
        <f t="shared" si="113"/>
        <v>0</v>
      </c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0" customFormat="1" ht="21" hidden="1" customHeight="1" x14ac:dyDescent="0.25">
      <c r="A425" s="229"/>
      <c r="B425" s="272" t="s">
        <v>468</v>
      </c>
      <c r="C425" s="101"/>
      <c r="D425" s="101"/>
      <c r="E425" s="101"/>
      <c r="F425" s="111" t="s">
        <v>486</v>
      </c>
      <c r="G425" s="101"/>
      <c r="H425" s="101"/>
      <c r="I425" s="101"/>
      <c r="J425" s="95">
        <f>J426</f>
        <v>0</v>
      </c>
      <c r="K425" s="95"/>
      <c r="L425" s="95"/>
      <c r="M425" s="263"/>
      <c r="N425" s="253">
        <f t="shared" si="113"/>
        <v>0</v>
      </c>
      <c r="O425" s="142">
        <f t="shared" si="113"/>
        <v>0</v>
      </c>
      <c r="P425" s="109">
        <f t="shared" si="113"/>
        <v>0</v>
      </c>
      <c r="Q425" s="306">
        <f t="shared" si="113"/>
        <v>0</v>
      </c>
      <c r="R425" s="307">
        <f t="shared" si="113"/>
        <v>0</v>
      </c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s="10" customFormat="1" ht="39" hidden="1" x14ac:dyDescent="0.25">
      <c r="A426" s="229"/>
      <c r="B426" s="106" t="s">
        <v>487</v>
      </c>
      <c r="C426" s="101" t="s">
        <v>44</v>
      </c>
      <c r="D426" s="101" t="s">
        <v>33</v>
      </c>
      <c r="E426" s="101" t="s">
        <v>45</v>
      </c>
      <c r="F426" s="111" t="s">
        <v>488</v>
      </c>
      <c r="G426" s="111"/>
      <c r="H426" s="111"/>
      <c r="I426" s="101"/>
      <c r="J426" s="94">
        <f>J427</f>
        <v>0</v>
      </c>
      <c r="K426" s="91"/>
      <c r="L426" s="91">
        <f>L427</f>
        <v>1223.8879999999999</v>
      </c>
      <c r="M426" s="276">
        <f>M427</f>
        <v>1309.56</v>
      </c>
      <c r="N426" s="279">
        <f t="shared" si="113"/>
        <v>0</v>
      </c>
      <c r="O426" s="280">
        <f t="shared" si="113"/>
        <v>0</v>
      </c>
      <c r="P426" s="97">
        <f t="shared" si="113"/>
        <v>0</v>
      </c>
      <c r="Q426" s="422">
        <f t="shared" si="113"/>
        <v>0</v>
      </c>
      <c r="R426" s="423">
        <f t="shared" si="113"/>
        <v>0</v>
      </c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s="10" customFormat="1" ht="13" hidden="1" x14ac:dyDescent="0.3">
      <c r="A427" s="229"/>
      <c r="B427" s="118" t="s">
        <v>471</v>
      </c>
      <c r="C427" s="101"/>
      <c r="D427" s="101" t="s">
        <v>33</v>
      </c>
      <c r="E427" s="101" t="s">
        <v>45</v>
      </c>
      <c r="F427" s="111" t="s">
        <v>488</v>
      </c>
      <c r="G427" s="101">
        <v>120</v>
      </c>
      <c r="H427" s="101"/>
      <c r="I427" s="101"/>
      <c r="J427" s="94">
        <f>J428</f>
        <v>0</v>
      </c>
      <c r="K427" s="94"/>
      <c r="L427" s="95">
        <v>1223.8879999999999</v>
      </c>
      <c r="M427" s="252">
        <v>1309.56</v>
      </c>
      <c r="N427" s="279">
        <f t="shared" si="113"/>
        <v>0</v>
      </c>
      <c r="O427" s="280">
        <f t="shared" si="113"/>
        <v>0</v>
      </c>
      <c r="P427" s="97">
        <f t="shared" si="113"/>
        <v>0</v>
      </c>
      <c r="Q427" s="422">
        <f t="shared" si="113"/>
        <v>0</v>
      </c>
      <c r="R427" s="423">
        <f t="shared" si="113"/>
        <v>0</v>
      </c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s="10" customFormat="1" ht="39" hidden="1" x14ac:dyDescent="0.3">
      <c r="A428" s="229"/>
      <c r="B428" s="416" t="s">
        <v>43</v>
      </c>
      <c r="C428" s="101"/>
      <c r="D428" s="101"/>
      <c r="E428" s="101"/>
      <c r="F428" s="111" t="s">
        <v>488</v>
      </c>
      <c r="G428" s="101">
        <v>120</v>
      </c>
      <c r="H428" s="101"/>
      <c r="I428" s="101" t="s">
        <v>45</v>
      </c>
      <c r="J428" s="94"/>
      <c r="K428" s="94"/>
      <c r="L428" s="95">
        <v>1223.8879999999999</v>
      </c>
      <c r="M428" s="252">
        <v>1309.56</v>
      </c>
      <c r="N428" s="279"/>
      <c r="O428" s="280"/>
      <c r="P428" s="97"/>
      <c r="Q428" s="422"/>
      <c r="R428" s="423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s="10" customFormat="1" ht="65" hidden="1" x14ac:dyDescent="0.25">
      <c r="A429" s="229"/>
      <c r="B429" s="112" t="s">
        <v>489</v>
      </c>
      <c r="C429" s="101"/>
      <c r="D429" s="101" t="s">
        <v>33</v>
      </c>
      <c r="E429" s="101" t="s">
        <v>45</v>
      </c>
      <c r="F429" s="110" t="s">
        <v>49</v>
      </c>
      <c r="G429" s="111"/>
      <c r="H429" s="111"/>
      <c r="I429" s="101"/>
      <c r="J429" s="103">
        <f>J430</f>
        <v>0</v>
      </c>
      <c r="K429" s="103"/>
      <c r="L429" s="103">
        <f t="shared" ref="L429:R429" si="114">L430</f>
        <v>171.8</v>
      </c>
      <c r="M429" s="264">
        <f t="shared" si="114"/>
        <v>171.8</v>
      </c>
      <c r="N429" s="248">
        <f t="shared" si="114"/>
        <v>0</v>
      </c>
      <c r="O429" s="265">
        <f t="shared" si="114"/>
        <v>0</v>
      </c>
      <c r="P429" s="105">
        <f t="shared" si="114"/>
        <v>0</v>
      </c>
      <c r="Q429" s="424">
        <f t="shared" si="114"/>
        <v>0</v>
      </c>
      <c r="R429" s="396">
        <f t="shared" si="114"/>
        <v>0</v>
      </c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s="10" customFormat="1" ht="13" hidden="1" x14ac:dyDescent="0.3">
      <c r="A430" s="229"/>
      <c r="B430" s="118" t="s">
        <v>50</v>
      </c>
      <c r="C430" s="101"/>
      <c r="D430" s="101" t="s">
        <v>33</v>
      </c>
      <c r="E430" s="101" t="s">
        <v>45</v>
      </c>
      <c r="F430" s="111" t="s">
        <v>49</v>
      </c>
      <c r="G430" s="111" t="s">
        <v>51</v>
      </c>
      <c r="H430" s="111"/>
      <c r="I430" s="101"/>
      <c r="J430" s="99">
        <f>J431</f>
        <v>0</v>
      </c>
      <c r="K430" s="99"/>
      <c r="L430" s="99">
        <v>171.8</v>
      </c>
      <c r="M430" s="263">
        <v>171.8</v>
      </c>
      <c r="N430" s="253">
        <f>N431</f>
        <v>0</v>
      </c>
      <c r="O430" s="142">
        <f>O431</f>
        <v>0</v>
      </c>
      <c r="P430" s="109">
        <f>P431</f>
        <v>0</v>
      </c>
      <c r="Q430" s="306">
        <f>Q431</f>
        <v>0</v>
      </c>
      <c r="R430" s="307">
        <f>R431</f>
        <v>0</v>
      </c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39" hidden="1" x14ac:dyDescent="0.3">
      <c r="A431" s="229"/>
      <c r="B431" s="416" t="s">
        <v>43</v>
      </c>
      <c r="C431" s="101"/>
      <c r="D431" s="101"/>
      <c r="E431" s="101"/>
      <c r="F431" s="111" t="s">
        <v>49</v>
      </c>
      <c r="G431" s="111" t="s">
        <v>51</v>
      </c>
      <c r="H431" s="111"/>
      <c r="I431" s="101" t="s">
        <v>45</v>
      </c>
      <c r="J431" s="99"/>
      <c r="K431" s="99"/>
      <c r="L431" s="99">
        <v>171.8</v>
      </c>
      <c r="M431" s="263">
        <v>171.8</v>
      </c>
      <c r="N431" s="253"/>
      <c r="O431" s="142"/>
      <c r="P431" s="109"/>
      <c r="Q431" s="306"/>
      <c r="R431" s="307"/>
    </row>
    <row r="432" spans="1:256" ht="75.650000000000006" hidden="1" customHeight="1" x14ac:dyDescent="0.25">
      <c r="A432" s="229"/>
      <c r="B432" s="427" t="s">
        <v>490</v>
      </c>
      <c r="C432" s="101"/>
      <c r="D432" s="111" t="s">
        <v>33</v>
      </c>
      <c r="E432" s="111" t="s">
        <v>45</v>
      </c>
      <c r="F432" s="110" t="s">
        <v>53</v>
      </c>
      <c r="G432" s="111"/>
      <c r="H432" s="111"/>
      <c r="I432" s="111"/>
      <c r="J432" s="103">
        <f>J434</f>
        <v>0</v>
      </c>
      <c r="K432" s="103"/>
      <c r="L432" s="103">
        <f t="shared" ref="L432:R432" si="115">L434</f>
        <v>263</v>
      </c>
      <c r="M432" s="264">
        <f t="shared" si="115"/>
        <v>263</v>
      </c>
      <c r="N432" s="248">
        <f t="shared" si="115"/>
        <v>0</v>
      </c>
      <c r="O432" s="265">
        <f t="shared" si="115"/>
        <v>0</v>
      </c>
      <c r="P432" s="105">
        <f t="shared" si="115"/>
        <v>0</v>
      </c>
      <c r="Q432" s="424">
        <f t="shared" si="115"/>
        <v>0</v>
      </c>
      <c r="R432" s="396">
        <f t="shared" si="115"/>
        <v>0</v>
      </c>
    </row>
    <row r="433" spans="1:256" ht="18" hidden="1" customHeight="1" x14ac:dyDescent="0.25">
      <c r="A433" s="229"/>
      <c r="B433" s="114" t="s">
        <v>54</v>
      </c>
      <c r="C433" s="111"/>
      <c r="D433" s="111" t="s">
        <v>33</v>
      </c>
      <c r="E433" s="111" t="s">
        <v>45</v>
      </c>
      <c r="F433" s="111" t="s">
        <v>55</v>
      </c>
      <c r="G433" s="111"/>
      <c r="H433" s="111"/>
      <c r="I433" s="111" t="s">
        <v>45</v>
      </c>
      <c r="J433" s="98"/>
      <c r="K433" s="98"/>
      <c r="L433" s="98"/>
      <c r="M433" s="278"/>
      <c r="N433" s="279"/>
      <c r="O433" s="280"/>
      <c r="P433" s="97"/>
      <c r="Q433" s="422"/>
      <c r="R433" s="423"/>
    </row>
    <row r="434" spans="1:256" ht="15" hidden="1" customHeight="1" x14ac:dyDescent="0.3">
      <c r="A434" s="229"/>
      <c r="B434" s="118" t="s">
        <v>56</v>
      </c>
      <c r="C434" s="111"/>
      <c r="D434" s="111" t="s">
        <v>33</v>
      </c>
      <c r="E434" s="111" t="s">
        <v>45</v>
      </c>
      <c r="F434" s="111" t="s">
        <v>53</v>
      </c>
      <c r="G434" s="111" t="s">
        <v>57</v>
      </c>
      <c r="H434" s="111"/>
      <c r="I434" s="111"/>
      <c r="J434" s="98">
        <f>J435</f>
        <v>0</v>
      </c>
      <c r="K434" s="98"/>
      <c r="L434" s="98">
        <v>263</v>
      </c>
      <c r="M434" s="278">
        <v>263</v>
      </c>
      <c r="N434" s="279">
        <f>N435</f>
        <v>0</v>
      </c>
      <c r="O434" s="280">
        <f>O435</f>
        <v>0</v>
      </c>
      <c r="P434" s="97">
        <f>P435</f>
        <v>0</v>
      </c>
      <c r="Q434" s="422">
        <f>Q435</f>
        <v>0</v>
      </c>
      <c r="R434" s="423">
        <f>R435</f>
        <v>0</v>
      </c>
    </row>
    <row r="435" spans="1:256" ht="42" hidden="1" customHeight="1" x14ac:dyDescent="0.3">
      <c r="A435" s="229"/>
      <c r="B435" s="416" t="s">
        <v>43</v>
      </c>
      <c r="C435" s="111"/>
      <c r="D435" s="111"/>
      <c r="E435" s="111"/>
      <c r="F435" s="111" t="s">
        <v>53</v>
      </c>
      <c r="G435" s="111" t="s">
        <v>57</v>
      </c>
      <c r="H435" s="111"/>
      <c r="I435" s="111" t="s">
        <v>45</v>
      </c>
      <c r="J435" s="98"/>
      <c r="K435" s="98"/>
      <c r="L435" s="98">
        <v>263</v>
      </c>
      <c r="M435" s="278">
        <v>263</v>
      </c>
      <c r="N435" s="279"/>
      <c r="O435" s="280"/>
      <c r="P435" s="97"/>
      <c r="Q435" s="422"/>
      <c r="R435" s="423"/>
    </row>
    <row r="436" spans="1:256" ht="99" hidden="1" customHeight="1" x14ac:dyDescent="0.25">
      <c r="A436" s="229"/>
      <c r="B436" s="428" t="s">
        <v>491</v>
      </c>
      <c r="C436" s="111"/>
      <c r="D436" s="111" t="s">
        <v>33</v>
      </c>
      <c r="E436" s="111" t="s">
        <v>45</v>
      </c>
      <c r="F436" s="110" t="s">
        <v>59</v>
      </c>
      <c r="G436" s="111"/>
      <c r="H436" s="111"/>
      <c r="I436" s="111"/>
      <c r="J436" s="85">
        <f>J437</f>
        <v>0</v>
      </c>
      <c r="K436" s="85"/>
      <c r="L436" s="85">
        <f t="shared" ref="L436:R436" si="116">L437</f>
        <v>130.1</v>
      </c>
      <c r="M436" s="276">
        <f t="shared" si="116"/>
        <v>130.1</v>
      </c>
      <c r="N436" s="257">
        <f t="shared" si="116"/>
        <v>0</v>
      </c>
      <c r="O436" s="258">
        <f t="shared" si="116"/>
        <v>0</v>
      </c>
      <c r="P436" s="87">
        <f t="shared" si="116"/>
        <v>0</v>
      </c>
      <c r="Q436" s="429">
        <f t="shared" si="116"/>
        <v>0</v>
      </c>
      <c r="R436" s="430">
        <f t="shared" si="116"/>
        <v>0</v>
      </c>
    </row>
    <row r="437" spans="1:256" ht="15" hidden="1" customHeight="1" x14ac:dyDescent="0.3">
      <c r="A437" s="229"/>
      <c r="B437" s="118" t="s">
        <v>56</v>
      </c>
      <c r="C437" s="111"/>
      <c r="D437" s="111" t="s">
        <v>33</v>
      </c>
      <c r="E437" s="111" t="s">
        <v>45</v>
      </c>
      <c r="F437" s="111" t="s">
        <v>59</v>
      </c>
      <c r="G437" s="111" t="s">
        <v>57</v>
      </c>
      <c r="H437" s="111"/>
      <c r="I437" s="111"/>
      <c r="J437" s="98">
        <f>J439</f>
        <v>0</v>
      </c>
      <c r="K437" s="98"/>
      <c r="L437" s="98">
        <v>130.1</v>
      </c>
      <c r="M437" s="278">
        <v>130.1</v>
      </c>
      <c r="N437" s="279">
        <f>N439</f>
        <v>0</v>
      </c>
      <c r="O437" s="280">
        <f>O439</f>
        <v>0</v>
      </c>
      <c r="P437" s="97">
        <f>P439</f>
        <v>0</v>
      </c>
      <c r="Q437" s="422">
        <f>Q439</f>
        <v>0</v>
      </c>
      <c r="R437" s="423">
        <f>R439</f>
        <v>0</v>
      </c>
    </row>
    <row r="438" spans="1:256" ht="60.65" hidden="1" customHeight="1" x14ac:dyDescent="0.25">
      <c r="A438" s="229"/>
      <c r="B438" s="116" t="s">
        <v>60</v>
      </c>
      <c r="C438" s="101"/>
      <c r="D438" s="101" t="s">
        <v>33</v>
      </c>
      <c r="E438" s="101" t="s">
        <v>45</v>
      </c>
      <c r="F438" s="111" t="s">
        <v>61</v>
      </c>
      <c r="G438" s="111"/>
      <c r="H438" s="111"/>
      <c r="I438" s="101" t="s">
        <v>45</v>
      </c>
      <c r="J438" s="98"/>
      <c r="K438" s="98"/>
      <c r="L438" s="98"/>
      <c r="M438" s="278"/>
      <c r="N438" s="279"/>
      <c r="O438" s="280"/>
      <c r="P438" s="97"/>
      <c r="Q438" s="422"/>
      <c r="R438" s="423"/>
    </row>
    <row r="439" spans="1:256" ht="40.15" hidden="1" customHeight="1" x14ac:dyDescent="0.3">
      <c r="A439" s="229"/>
      <c r="B439" s="302" t="s">
        <v>43</v>
      </c>
      <c r="C439" s="101"/>
      <c r="D439" s="101"/>
      <c r="E439" s="101"/>
      <c r="F439" s="111" t="s">
        <v>59</v>
      </c>
      <c r="G439" s="111" t="s">
        <v>57</v>
      </c>
      <c r="H439" s="111"/>
      <c r="I439" s="111" t="s">
        <v>45</v>
      </c>
      <c r="J439" s="98"/>
      <c r="K439" s="98"/>
      <c r="L439" s="98">
        <v>130.1</v>
      </c>
      <c r="M439" s="278">
        <v>130.1</v>
      </c>
      <c r="N439" s="279"/>
      <c r="O439" s="280"/>
      <c r="P439" s="97"/>
      <c r="Q439" s="422"/>
      <c r="R439" s="423"/>
    </row>
    <row r="440" spans="1:256" ht="40.15" customHeight="1" x14ac:dyDescent="0.3">
      <c r="A440" s="229"/>
      <c r="B440" s="304" t="s">
        <v>69</v>
      </c>
      <c r="C440" s="101"/>
      <c r="D440" s="101"/>
      <c r="E440" s="101"/>
      <c r="F440" s="110" t="s">
        <v>492</v>
      </c>
      <c r="G440" s="110"/>
      <c r="H440" s="110"/>
      <c r="I440" s="110"/>
      <c r="J440" s="85">
        <f>J442</f>
        <v>170.1</v>
      </c>
      <c r="K440" s="85"/>
      <c r="L440" s="85"/>
      <c r="M440" s="276"/>
      <c r="N440" s="257">
        <f>N442</f>
        <v>419.95400000000001</v>
      </c>
      <c r="O440" s="258">
        <f>O442</f>
        <v>0</v>
      </c>
      <c r="P440" s="87">
        <f>P442</f>
        <v>0</v>
      </c>
      <c r="Q440" s="429">
        <f>Q441</f>
        <v>0</v>
      </c>
      <c r="R440" s="430">
        <f>R441</f>
        <v>0</v>
      </c>
    </row>
    <row r="441" spans="1:256" ht="13" x14ac:dyDescent="0.25">
      <c r="A441" s="229"/>
      <c r="B441" s="426" t="s">
        <v>479</v>
      </c>
      <c r="C441" s="101"/>
      <c r="D441" s="101"/>
      <c r="E441" s="101"/>
      <c r="F441" s="111" t="s">
        <v>492</v>
      </c>
      <c r="G441" s="111" t="s">
        <v>57</v>
      </c>
      <c r="H441" s="111"/>
      <c r="I441" s="111"/>
      <c r="J441" s="98"/>
      <c r="K441" s="98"/>
      <c r="L441" s="98"/>
      <c r="M441" s="278"/>
      <c r="N441" s="279">
        <f>N442</f>
        <v>419.95400000000001</v>
      </c>
      <c r="O441" s="280">
        <f>O442</f>
        <v>0</v>
      </c>
      <c r="P441" s="97">
        <f>P442</f>
        <v>0</v>
      </c>
      <c r="Q441" s="422">
        <f>Q442</f>
        <v>0</v>
      </c>
      <c r="R441" s="423">
        <f>R442</f>
        <v>0</v>
      </c>
    </row>
    <row r="442" spans="1:256" ht="26" x14ac:dyDescent="0.3">
      <c r="A442" s="229"/>
      <c r="B442" s="302" t="s">
        <v>66</v>
      </c>
      <c r="C442" s="101"/>
      <c r="D442" s="101"/>
      <c r="E442" s="101"/>
      <c r="F442" s="111" t="s">
        <v>492</v>
      </c>
      <c r="G442" s="111" t="s">
        <v>57</v>
      </c>
      <c r="H442" s="111" t="s">
        <v>320</v>
      </c>
      <c r="I442" s="89" t="s">
        <v>493</v>
      </c>
      <c r="J442" s="98">
        <v>170.1</v>
      </c>
      <c r="K442" s="98"/>
      <c r="L442" s="98"/>
      <c r="M442" s="278"/>
      <c r="N442" s="279">
        <f>419.955-0.001</f>
        <v>419.95400000000001</v>
      </c>
      <c r="O442" s="280"/>
      <c r="P442" s="97"/>
      <c r="Q442" s="422">
        <v>0</v>
      </c>
      <c r="R442" s="423">
        <v>0</v>
      </c>
    </row>
    <row r="443" spans="1:256" ht="52" x14ac:dyDescent="0.25">
      <c r="A443" s="229"/>
      <c r="B443" s="431" t="s">
        <v>494</v>
      </c>
      <c r="C443" s="101"/>
      <c r="D443" s="101" t="s">
        <v>33</v>
      </c>
      <c r="E443" s="101" t="s">
        <v>45</v>
      </c>
      <c r="F443" s="110" t="s">
        <v>495</v>
      </c>
      <c r="G443" s="111"/>
      <c r="H443" s="111"/>
      <c r="I443" s="101"/>
      <c r="J443" s="85">
        <f>J444+J446</f>
        <v>547.5</v>
      </c>
      <c r="K443" s="85"/>
      <c r="L443" s="85">
        <f t="shared" ref="L443:R443" si="117">L444+L446</f>
        <v>546.70000000000005</v>
      </c>
      <c r="M443" s="276">
        <f t="shared" si="117"/>
        <v>546.70000000000005</v>
      </c>
      <c r="N443" s="432">
        <f t="shared" si="117"/>
        <v>7.04</v>
      </c>
      <c r="O443" s="433">
        <f t="shared" si="117"/>
        <v>37.200000000000003</v>
      </c>
      <c r="P443" s="434">
        <f t="shared" si="117"/>
        <v>37.200000000000003</v>
      </c>
      <c r="Q443" s="435">
        <f t="shared" si="117"/>
        <v>7.1</v>
      </c>
      <c r="R443" s="436">
        <f t="shared" si="117"/>
        <v>7.1</v>
      </c>
      <c r="S443" s="300">
        <v>-648.9</v>
      </c>
      <c r="T443" s="300">
        <v>-648.9</v>
      </c>
      <c r="U443" s="300">
        <v>-648.9</v>
      </c>
    </row>
    <row r="444" spans="1:256" ht="13" hidden="1" x14ac:dyDescent="0.3">
      <c r="A444" s="229"/>
      <c r="B444" s="392" t="s">
        <v>471</v>
      </c>
      <c r="C444" s="101"/>
      <c r="D444" s="101" t="s">
        <v>33</v>
      </c>
      <c r="E444" s="101" t="s">
        <v>45</v>
      </c>
      <c r="F444" s="111" t="s">
        <v>495</v>
      </c>
      <c r="G444" s="111" t="s">
        <v>64</v>
      </c>
      <c r="H444" s="111"/>
      <c r="I444" s="101"/>
      <c r="J444" s="98">
        <f>J445</f>
        <v>510.3</v>
      </c>
      <c r="K444" s="98"/>
      <c r="L444" s="98">
        <f>546.7-45.2</f>
        <v>501.50000000000006</v>
      </c>
      <c r="M444" s="278">
        <f>546.7-45.2</f>
        <v>501.50000000000006</v>
      </c>
      <c r="N444" s="279">
        <f>N445</f>
        <v>0</v>
      </c>
      <c r="O444" s="280">
        <f>O445</f>
        <v>0</v>
      </c>
      <c r="P444" s="97">
        <f>P445</f>
        <v>0</v>
      </c>
      <c r="Q444" s="281">
        <f>Q445</f>
        <v>0</v>
      </c>
      <c r="R444" s="282">
        <f>R445</f>
        <v>0</v>
      </c>
    </row>
    <row r="445" spans="1:256" s="2" customFormat="1" ht="33.65" hidden="1" customHeight="1" x14ac:dyDescent="0.25">
      <c r="A445" s="437"/>
      <c r="B445" s="100" t="s">
        <v>496</v>
      </c>
      <c r="C445" s="125"/>
      <c r="D445" s="125"/>
      <c r="E445" s="125"/>
      <c r="F445" s="111" t="s">
        <v>495</v>
      </c>
      <c r="G445" s="111" t="s">
        <v>64</v>
      </c>
      <c r="H445" s="111" t="s">
        <v>340</v>
      </c>
      <c r="I445" s="111" t="s">
        <v>497</v>
      </c>
      <c r="J445" s="438">
        <f>392.863+117.437</f>
        <v>510.3</v>
      </c>
      <c r="K445" s="438"/>
      <c r="L445" s="438">
        <f>546.7-45.2</f>
        <v>501.50000000000006</v>
      </c>
      <c r="M445" s="439">
        <f>546.7-45.2</f>
        <v>501.50000000000006</v>
      </c>
      <c r="N445" s="279"/>
      <c r="O445" s="440"/>
      <c r="P445" s="441"/>
      <c r="Q445" s="281"/>
      <c r="R445" s="282"/>
      <c r="S445" s="442"/>
      <c r="T445" s="442"/>
      <c r="U445" s="442"/>
      <c r="V445" s="442"/>
      <c r="W445" s="442"/>
      <c r="X445" s="442"/>
    </row>
    <row r="446" spans="1:256" ht="26" x14ac:dyDescent="0.25">
      <c r="A446" s="229"/>
      <c r="B446" s="262" t="s">
        <v>283</v>
      </c>
      <c r="C446" s="101"/>
      <c r="D446" s="101"/>
      <c r="E446" s="101"/>
      <c r="F446" s="111" t="s">
        <v>495</v>
      </c>
      <c r="G446" s="111" t="s">
        <v>65</v>
      </c>
      <c r="H446" s="111"/>
      <c r="I446" s="101"/>
      <c r="J446" s="98">
        <f>J447</f>
        <v>37.200000000000003</v>
      </c>
      <c r="K446" s="98"/>
      <c r="L446" s="98">
        <v>45.2</v>
      </c>
      <c r="M446" s="278">
        <v>45.2</v>
      </c>
      <c r="N446" s="279">
        <f>N447</f>
        <v>7.04</v>
      </c>
      <c r="O446" s="280">
        <f>O447</f>
        <v>37.200000000000003</v>
      </c>
      <c r="P446" s="97">
        <f>P447</f>
        <v>37.200000000000003</v>
      </c>
      <c r="Q446" s="281">
        <f>Q447</f>
        <v>7.1</v>
      </c>
      <c r="R446" s="282">
        <f>R447</f>
        <v>7.1</v>
      </c>
    </row>
    <row r="447" spans="1:256" s="10" customFormat="1" ht="39" x14ac:dyDescent="0.25">
      <c r="A447" s="229"/>
      <c r="B447" s="100" t="s">
        <v>496</v>
      </c>
      <c r="C447" s="101"/>
      <c r="D447" s="101"/>
      <c r="E447" s="101"/>
      <c r="F447" s="111" t="s">
        <v>495</v>
      </c>
      <c r="G447" s="111" t="s">
        <v>65</v>
      </c>
      <c r="H447" s="111" t="s">
        <v>340</v>
      </c>
      <c r="I447" s="111" t="s">
        <v>497</v>
      </c>
      <c r="J447" s="98">
        <f>17.5+15.7+4</f>
        <v>37.200000000000003</v>
      </c>
      <c r="K447" s="98"/>
      <c r="L447" s="98">
        <v>45.2</v>
      </c>
      <c r="M447" s="278">
        <v>45.2</v>
      </c>
      <c r="N447" s="279">
        <f>7.1-0.06</f>
        <v>7.04</v>
      </c>
      <c r="O447" s="280">
        <v>37.200000000000003</v>
      </c>
      <c r="P447" s="97">
        <v>37.200000000000003</v>
      </c>
      <c r="Q447" s="281">
        <v>7.1</v>
      </c>
      <c r="R447" s="282">
        <v>7.1</v>
      </c>
      <c r="S447" s="232">
        <v>7.1</v>
      </c>
      <c r="T447" s="232">
        <v>7.1</v>
      </c>
      <c r="U447" s="232">
        <v>7.1</v>
      </c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s="10" customFormat="1" ht="42" hidden="1" customHeight="1" x14ac:dyDescent="0.25">
      <c r="A448" s="229"/>
      <c r="B448" s="100" t="s">
        <v>66</v>
      </c>
      <c r="C448" s="111"/>
      <c r="D448" s="60" t="s">
        <v>33</v>
      </c>
      <c r="E448" s="110" t="s">
        <v>67</v>
      </c>
      <c r="F448" s="60" t="s">
        <v>30</v>
      </c>
      <c r="G448" s="60" t="s">
        <v>30</v>
      </c>
      <c r="H448" s="60"/>
      <c r="I448" s="110"/>
      <c r="J448" s="103">
        <f>J449</f>
        <v>0</v>
      </c>
      <c r="K448" s="103"/>
      <c r="L448" s="103">
        <f t="shared" ref="L448:R451" si="118">L449</f>
        <v>99.305000000000007</v>
      </c>
      <c r="M448" s="264">
        <f t="shared" si="118"/>
        <v>99.305000000000007</v>
      </c>
      <c r="N448" s="248">
        <f t="shared" si="118"/>
        <v>0</v>
      </c>
      <c r="O448" s="265">
        <f t="shared" si="118"/>
        <v>0</v>
      </c>
      <c r="P448" s="105">
        <f t="shared" si="118"/>
        <v>0</v>
      </c>
      <c r="Q448" s="266">
        <f t="shared" si="118"/>
        <v>0</v>
      </c>
      <c r="R448" s="251">
        <f t="shared" si="118"/>
        <v>0</v>
      </c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s="10" customFormat="1" ht="39" hidden="1" x14ac:dyDescent="0.25">
      <c r="A449" s="229"/>
      <c r="B449" s="100" t="s">
        <v>36</v>
      </c>
      <c r="C449" s="111"/>
      <c r="D449" s="60" t="s">
        <v>33</v>
      </c>
      <c r="E449" s="60" t="s">
        <v>67</v>
      </c>
      <c r="F449" s="110" t="s">
        <v>68</v>
      </c>
      <c r="G449" s="119"/>
      <c r="H449" s="119"/>
      <c r="I449" s="60"/>
      <c r="J449" s="103">
        <f>J450</f>
        <v>0</v>
      </c>
      <c r="K449" s="103"/>
      <c r="L449" s="103">
        <f t="shared" si="118"/>
        <v>99.305000000000007</v>
      </c>
      <c r="M449" s="264">
        <f t="shared" si="118"/>
        <v>99.305000000000007</v>
      </c>
      <c r="N449" s="248">
        <f t="shared" si="118"/>
        <v>0</v>
      </c>
      <c r="O449" s="265">
        <f t="shared" si="118"/>
        <v>0</v>
      </c>
      <c r="P449" s="105">
        <f t="shared" si="118"/>
        <v>0</v>
      </c>
      <c r="Q449" s="266">
        <f t="shared" si="118"/>
        <v>0</v>
      </c>
      <c r="R449" s="251">
        <f t="shared" si="118"/>
        <v>0</v>
      </c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s="10" customFormat="1" ht="68.5" hidden="1" customHeight="1" x14ac:dyDescent="0.25">
      <c r="A450" s="229"/>
      <c r="B450" s="443" t="s">
        <v>498</v>
      </c>
      <c r="C450" s="111"/>
      <c r="D450" s="101" t="s">
        <v>33</v>
      </c>
      <c r="E450" s="101" t="s">
        <v>67</v>
      </c>
      <c r="F450" s="110" t="s">
        <v>70</v>
      </c>
      <c r="G450" s="111"/>
      <c r="H450" s="111"/>
      <c r="I450" s="101"/>
      <c r="J450" s="98">
        <f>J451</f>
        <v>0</v>
      </c>
      <c r="K450" s="98"/>
      <c r="L450" s="98">
        <f t="shared" si="118"/>
        <v>99.305000000000007</v>
      </c>
      <c r="M450" s="278">
        <f t="shared" si="118"/>
        <v>99.305000000000007</v>
      </c>
      <c r="N450" s="279">
        <f t="shared" si="118"/>
        <v>0</v>
      </c>
      <c r="O450" s="280">
        <f t="shared" si="118"/>
        <v>0</v>
      </c>
      <c r="P450" s="97">
        <f t="shared" si="118"/>
        <v>0</v>
      </c>
      <c r="Q450" s="281">
        <f t="shared" si="118"/>
        <v>0</v>
      </c>
      <c r="R450" s="282">
        <f t="shared" si="118"/>
        <v>0</v>
      </c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s="10" customFormat="1" ht="13.9" hidden="1" customHeight="1" x14ac:dyDescent="0.3">
      <c r="A451" s="229"/>
      <c r="B451" s="285" t="s">
        <v>56</v>
      </c>
      <c r="C451" s="111"/>
      <c r="D451" s="101" t="s">
        <v>33</v>
      </c>
      <c r="E451" s="101" t="s">
        <v>67</v>
      </c>
      <c r="F451" s="111" t="s">
        <v>70</v>
      </c>
      <c r="G451" s="111" t="s">
        <v>57</v>
      </c>
      <c r="H451" s="111"/>
      <c r="I451" s="101"/>
      <c r="J451" s="98">
        <f>J452</f>
        <v>0</v>
      </c>
      <c r="K451" s="98"/>
      <c r="L451" s="98">
        <v>99.305000000000007</v>
      </c>
      <c r="M451" s="278">
        <v>99.305000000000007</v>
      </c>
      <c r="N451" s="279">
        <f t="shared" si="118"/>
        <v>0</v>
      </c>
      <c r="O451" s="280">
        <f t="shared" si="118"/>
        <v>0</v>
      </c>
      <c r="P451" s="97">
        <f t="shared" si="118"/>
        <v>0</v>
      </c>
      <c r="Q451" s="281">
        <f t="shared" si="118"/>
        <v>0</v>
      </c>
      <c r="R451" s="282">
        <f t="shared" si="118"/>
        <v>0</v>
      </c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s="10" customFormat="1" ht="28.15" hidden="1" customHeight="1" x14ac:dyDescent="0.3">
      <c r="A452" s="229"/>
      <c r="B452" s="302" t="s">
        <v>66</v>
      </c>
      <c r="C452" s="111"/>
      <c r="D452" s="101"/>
      <c r="E452" s="101"/>
      <c r="F452" s="111" t="s">
        <v>70</v>
      </c>
      <c r="G452" s="111" t="s">
        <v>57</v>
      </c>
      <c r="H452" s="111"/>
      <c r="I452" s="101" t="s">
        <v>67</v>
      </c>
      <c r="J452" s="98"/>
      <c r="K452" s="98"/>
      <c r="L452" s="98">
        <v>99.305000000000007</v>
      </c>
      <c r="M452" s="278">
        <v>99.305000000000007</v>
      </c>
      <c r="N452" s="279"/>
      <c r="O452" s="280"/>
      <c r="P452" s="97"/>
      <c r="Q452" s="281"/>
      <c r="R452" s="282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s="10" customFormat="1" ht="54.65" hidden="1" customHeight="1" x14ac:dyDescent="0.25">
      <c r="A453" s="229"/>
      <c r="B453" s="272" t="s">
        <v>499</v>
      </c>
      <c r="C453" s="111"/>
      <c r="D453" s="101"/>
      <c r="E453" s="101"/>
      <c r="F453" s="110" t="s">
        <v>500</v>
      </c>
      <c r="G453" s="111"/>
      <c r="H453" s="111"/>
      <c r="I453" s="101"/>
      <c r="J453" s="98"/>
      <c r="K453" s="98"/>
      <c r="L453" s="98"/>
      <c r="M453" s="278"/>
      <c r="N453" s="279">
        <f>N454</f>
        <v>0</v>
      </c>
      <c r="O453" s="280">
        <f t="shared" ref="O453:R456" si="119">O454</f>
        <v>659.56200000000001</v>
      </c>
      <c r="P453" s="97">
        <f t="shared" si="119"/>
        <v>725.51900000000001</v>
      </c>
      <c r="Q453" s="281">
        <f t="shared" si="119"/>
        <v>0</v>
      </c>
      <c r="R453" s="282">
        <f t="shared" si="119"/>
        <v>0</v>
      </c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s="10" customFormat="1" ht="28.15" hidden="1" customHeight="1" x14ac:dyDescent="0.25">
      <c r="A454" s="229"/>
      <c r="B454" s="272" t="s">
        <v>468</v>
      </c>
      <c r="C454" s="111"/>
      <c r="D454" s="101"/>
      <c r="E454" s="101"/>
      <c r="F454" s="111" t="s">
        <v>501</v>
      </c>
      <c r="G454" s="111"/>
      <c r="H454" s="111"/>
      <c r="I454" s="101"/>
      <c r="J454" s="98"/>
      <c r="K454" s="98"/>
      <c r="L454" s="98"/>
      <c r="M454" s="278"/>
      <c r="N454" s="279">
        <f>N455</f>
        <v>0</v>
      </c>
      <c r="O454" s="280">
        <f t="shared" si="119"/>
        <v>659.56200000000001</v>
      </c>
      <c r="P454" s="97">
        <f t="shared" si="119"/>
        <v>725.51900000000001</v>
      </c>
      <c r="Q454" s="281">
        <f t="shared" si="119"/>
        <v>0</v>
      </c>
      <c r="R454" s="282">
        <f t="shared" si="119"/>
        <v>0</v>
      </c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s="10" customFormat="1" ht="28.15" hidden="1" customHeight="1" x14ac:dyDescent="0.25">
      <c r="A455" s="229"/>
      <c r="B455" s="366" t="s">
        <v>502</v>
      </c>
      <c r="C455" s="111"/>
      <c r="D455" s="101"/>
      <c r="E455" s="101"/>
      <c r="F455" s="111" t="s">
        <v>473</v>
      </c>
      <c r="G455" s="111"/>
      <c r="H455" s="111"/>
      <c r="I455" s="101"/>
      <c r="J455" s="98"/>
      <c r="K455" s="98"/>
      <c r="L455" s="98"/>
      <c r="M455" s="278"/>
      <c r="N455" s="279">
        <f>N456</f>
        <v>0</v>
      </c>
      <c r="O455" s="280">
        <f t="shared" si="119"/>
        <v>659.56200000000001</v>
      </c>
      <c r="P455" s="97">
        <f t="shared" si="119"/>
        <v>725.51900000000001</v>
      </c>
      <c r="Q455" s="281">
        <f t="shared" si="119"/>
        <v>0</v>
      </c>
      <c r="R455" s="282">
        <f t="shared" si="119"/>
        <v>0</v>
      </c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s="10" customFormat="1" ht="16.149999999999999" hidden="1" customHeight="1" x14ac:dyDescent="0.3">
      <c r="A456" s="229"/>
      <c r="B456" s="118" t="s">
        <v>471</v>
      </c>
      <c r="C456" s="111"/>
      <c r="D456" s="101"/>
      <c r="E456" s="101"/>
      <c r="F456" s="111" t="s">
        <v>473</v>
      </c>
      <c r="G456" s="111" t="s">
        <v>64</v>
      </c>
      <c r="H456" s="111"/>
      <c r="I456" s="101"/>
      <c r="J456" s="98"/>
      <c r="K456" s="98"/>
      <c r="L456" s="98"/>
      <c r="M456" s="278"/>
      <c r="N456" s="279">
        <f>N457</f>
        <v>0</v>
      </c>
      <c r="O456" s="280">
        <f t="shared" si="119"/>
        <v>659.56200000000001</v>
      </c>
      <c r="P456" s="97">
        <f t="shared" si="119"/>
        <v>725.51900000000001</v>
      </c>
      <c r="Q456" s="281">
        <f t="shared" si="119"/>
        <v>0</v>
      </c>
      <c r="R456" s="282">
        <f t="shared" si="119"/>
        <v>0</v>
      </c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s="10" customFormat="1" ht="40.15" hidden="1" customHeight="1" x14ac:dyDescent="0.3">
      <c r="A457" s="229"/>
      <c r="B457" s="304" t="s">
        <v>38</v>
      </c>
      <c r="C457" s="111"/>
      <c r="D457" s="101"/>
      <c r="E457" s="101"/>
      <c r="F457" s="111" t="s">
        <v>473</v>
      </c>
      <c r="G457" s="111" t="s">
        <v>64</v>
      </c>
      <c r="H457" s="111" t="s">
        <v>320</v>
      </c>
      <c r="I457" s="111" t="s">
        <v>340</v>
      </c>
      <c r="J457" s="98"/>
      <c r="K457" s="98"/>
      <c r="L457" s="98"/>
      <c r="M457" s="278"/>
      <c r="N457" s="444">
        <f>530.24-530.24</f>
        <v>0</v>
      </c>
      <c r="O457" s="280">
        <v>659.56200000000001</v>
      </c>
      <c r="P457" s="97">
        <v>725.51900000000001</v>
      </c>
      <c r="Q457" s="445">
        <f>530.24-530.24</f>
        <v>0</v>
      </c>
      <c r="R457" s="446">
        <f>530.24-530.24</f>
        <v>0</v>
      </c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s="10" customFormat="1" ht="52" x14ac:dyDescent="0.25">
      <c r="A458" s="229"/>
      <c r="B458" s="272" t="s">
        <v>484</v>
      </c>
      <c r="C458" s="101"/>
      <c r="D458" s="101"/>
      <c r="E458" s="101"/>
      <c r="F458" s="110" t="s">
        <v>485</v>
      </c>
      <c r="G458" s="101"/>
      <c r="H458" s="101"/>
      <c r="I458" s="101"/>
      <c r="J458" s="102">
        <f>J459</f>
        <v>1183.2429999999999</v>
      </c>
      <c r="K458" s="95"/>
      <c r="L458" s="95"/>
      <c r="M458" s="263"/>
      <c r="N458" s="248">
        <f t="shared" ref="N458:R461" si="120">N459</f>
        <v>1526.0149999999999</v>
      </c>
      <c r="O458" s="265">
        <f t="shared" si="120"/>
        <v>1627.663</v>
      </c>
      <c r="P458" s="105">
        <f t="shared" si="120"/>
        <v>1782.7329999999999</v>
      </c>
      <c r="Q458" s="266">
        <f t="shared" si="120"/>
        <v>1573.104</v>
      </c>
      <c r="R458" s="251">
        <f t="shared" si="120"/>
        <v>1636.028</v>
      </c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s="10" customFormat="1" ht="21" customHeight="1" x14ac:dyDescent="0.25">
      <c r="A459" s="229"/>
      <c r="B459" s="272" t="s">
        <v>468</v>
      </c>
      <c r="C459" s="101"/>
      <c r="D459" s="101"/>
      <c r="E459" s="101"/>
      <c r="F459" s="111" t="s">
        <v>486</v>
      </c>
      <c r="G459" s="101"/>
      <c r="H459" s="101"/>
      <c r="I459" s="101"/>
      <c r="J459" s="95">
        <f>J460</f>
        <v>1183.2429999999999</v>
      </c>
      <c r="K459" s="95"/>
      <c r="L459" s="95"/>
      <c r="M459" s="263"/>
      <c r="N459" s="253">
        <f t="shared" si="120"/>
        <v>1526.0149999999999</v>
      </c>
      <c r="O459" s="142">
        <f t="shared" si="120"/>
        <v>1627.663</v>
      </c>
      <c r="P459" s="109">
        <f t="shared" si="120"/>
        <v>1782.7329999999999</v>
      </c>
      <c r="Q459" s="254">
        <f t="shared" si="120"/>
        <v>1573.104</v>
      </c>
      <c r="R459" s="255">
        <f t="shared" si="120"/>
        <v>1636.028</v>
      </c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s="10" customFormat="1" ht="39" x14ac:dyDescent="0.25">
      <c r="A460" s="229"/>
      <c r="B460" s="106" t="s">
        <v>487</v>
      </c>
      <c r="C460" s="101" t="s">
        <v>44</v>
      </c>
      <c r="D460" s="101" t="s">
        <v>33</v>
      </c>
      <c r="E460" s="101" t="s">
        <v>45</v>
      </c>
      <c r="F460" s="111" t="s">
        <v>488</v>
      </c>
      <c r="G460" s="111"/>
      <c r="H460" s="111"/>
      <c r="I460" s="101"/>
      <c r="J460" s="94">
        <f>J461</f>
        <v>1183.2429999999999</v>
      </c>
      <c r="K460" s="91"/>
      <c r="L460" s="91">
        <f>L461</f>
        <v>1223.8879999999999</v>
      </c>
      <c r="M460" s="276">
        <f>M461</f>
        <v>1309.56</v>
      </c>
      <c r="N460" s="279">
        <f t="shared" si="120"/>
        <v>1526.0149999999999</v>
      </c>
      <c r="O460" s="280">
        <f t="shared" si="120"/>
        <v>1627.663</v>
      </c>
      <c r="P460" s="97">
        <f t="shared" si="120"/>
        <v>1782.7329999999999</v>
      </c>
      <c r="Q460" s="281">
        <f t="shared" si="120"/>
        <v>1573.104</v>
      </c>
      <c r="R460" s="282">
        <f t="shared" si="120"/>
        <v>1636.028</v>
      </c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s="10" customFormat="1" ht="13" x14ac:dyDescent="0.3">
      <c r="A461" s="229"/>
      <c r="B461" s="118" t="s">
        <v>471</v>
      </c>
      <c r="C461" s="101"/>
      <c r="D461" s="101" t="s">
        <v>33</v>
      </c>
      <c r="E461" s="101" t="s">
        <v>45</v>
      </c>
      <c r="F461" s="111" t="s">
        <v>488</v>
      </c>
      <c r="G461" s="101">
        <v>120</v>
      </c>
      <c r="H461" s="101"/>
      <c r="I461" s="101"/>
      <c r="J461" s="94">
        <f>J462</f>
        <v>1183.2429999999999</v>
      </c>
      <c r="K461" s="94"/>
      <c r="L461" s="95">
        <v>1223.8879999999999</v>
      </c>
      <c r="M461" s="252">
        <v>1309.56</v>
      </c>
      <c r="N461" s="279">
        <f t="shared" si="120"/>
        <v>1526.0149999999999</v>
      </c>
      <c r="O461" s="280">
        <f t="shared" si="120"/>
        <v>1627.663</v>
      </c>
      <c r="P461" s="97">
        <f t="shared" si="120"/>
        <v>1782.7329999999999</v>
      </c>
      <c r="Q461" s="281">
        <f t="shared" si="120"/>
        <v>1573.104</v>
      </c>
      <c r="R461" s="282">
        <f t="shared" si="120"/>
        <v>1636.028</v>
      </c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s="10" customFormat="1" ht="39" x14ac:dyDescent="0.3">
      <c r="A462" s="229"/>
      <c r="B462" s="416" t="s">
        <v>43</v>
      </c>
      <c r="C462" s="101"/>
      <c r="D462" s="101"/>
      <c r="E462" s="101"/>
      <c r="F462" s="111" t="s">
        <v>488</v>
      </c>
      <c r="G462" s="101">
        <v>120</v>
      </c>
      <c r="H462" s="111" t="s">
        <v>320</v>
      </c>
      <c r="I462" s="89" t="s">
        <v>298</v>
      </c>
      <c r="J462" s="94">
        <f>946.688+236.555</f>
        <v>1183.2429999999999</v>
      </c>
      <c r="K462" s="94"/>
      <c r="L462" s="95">
        <v>1223.8879999999999</v>
      </c>
      <c r="M462" s="252">
        <v>1309.56</v>
      </c>
      <c r="N462" s="279">
        <f>1512.6+13.415</f>
        <v>1526.0149999999999</v>
      </c>
      <c r="O462" s="280">
        <v>1627.663</v>
      </c>
      <c r="P462" s="97">
        <v>1782.7329999999999</v>
      </c>
      <c r="Q462" s="281">
        <v>1573.104</v>
      </c>
      <c r="R462" s="282">
        <v>1636.028</v>
      </c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ht="26" x14ac:dyDescent="0.25">
      <c r="A463" s="245">
        <v>14</v>
      </c>
      <c r="B463" s="100" t="s">
        <v>84</v>
      </c>
      <c r="C463" s="110"/>
      <c r="D463" s="110" t="s">
        <v>33</v>
      </c>
      <c r="E463" s="110" t="s">
        <v>83</v>
      </c>
      <c r="F463" s="110" t="s">
        <v>503</v>
      </c>
      <c r="G463" s="110"/>
      <c r="H463" s="110"/>
      <c r="I463" s="110"/>
      <c r="J463" s="103">
        <f>J465</f>
        <v>213.2</v>
      </c>
      <c r="K463" s="103"/>
      <c r="L463" s="103">
        <f>L466</f>
        <v>108</v>
      </c>
      <c r="M463" s="264">
        <f>M466</f>
        <v>108</v>
      </c>
      <c r="N463" s="248">
        <f t="shared" ref="N463:R464" si="121">N464</f>
        <v>1718.2093400000001</v>
      </c>
      <c r="O463" s="265">
        <f t="shared" si="121"/>
        <v>213.5</v>
      </c>
      <c r="P463" s="105">
        <f t="shared" si="121"/>
        <v>213.5</v>
      </c>
      <c r="Q463" s="266">
        <f t="shared" si="121"/>
        <v>500</v>
      </c>
      <c r="R463" s="251">
        <f t="shared" si="121"/>
        <v>600</v>
      </c>
    </row>
    <row r="464" spans="1:256" ht="13" x14ac:dyDescent="0.25">
      <c r="A464" s="245"/>
      <c r="B464" s="106" t="s">
        <v>504</v>
      </c>
      <c r="C464" s="110"/>
      <c r="D464" s="110"/>
      <c r="E464" s="110"/>
      <c r="F464" s="111" t="s">
        <v>505</v>
      </c>
      <c r="G464" s="110"/>
      <c r="H464" s="110"/>
      <c r="I464" s="110"/>
      <c r="J464" s="103"/>
      <c r="K464" s="103"/>
      <c r="L464" s="103"/>
      <c r="M464" s="264"/>
      <c r="N464" s="253">
        <f t="shared" si="121"/>
        <v>1718.2093400000001</v>
      </c>
      <c r="O464" s="142">
        <f t="shared" si="121"/>
        <v>213.5</v>
      </c>
      <c r="P464" s="109">
        <f t="shared" si="121"/>
        <v>213.5</v>
      </c>
      <c r="Q464" s="254">
        <f t="shared" si="121"/>
        <v>500</v>
      </c>
      <c r="R464" s="255">
        <f t="shared" si="121"/>
        <v>600</v>
      </c>
    </row>
    <row r="465" spans="1:24" ht="13" x14ac:dyDescent="0.25">
      <c r="A465" s="245"/>
      <c r="B465" s="106" t="s">
        <v>504</v>
      </c>
      <c r="C465" s="110"/>
      <c r="D465" s="110"/>
      <c r="E465" s="110"/>
      <c r="F465" s="111" t="s">
        <v>506</v>
      </c>
      <c r="G465" s="110"/>
      <c r="H465" s="110"/>
      <c r="I465" s="110"/>
      <c r="J465" s="99">
        <f>J468+J474</f>
        <v>213.2</v>
      </c>
      <c r="K465" s="103"/>
      <c r="L465" s="103"/>
      <c r="M465" s="264"/>
      <c r="N465" s="253">
        <f>N468+N474+N472</f>
        <v>1718.2093400000001</v>
      </c>
      <c r="O465" s="142">
        <f>O468+O474</f>
        <v>213.5</v>
      </c>
      <c r="P465" s="109">
        <f>P468+P474</f>
        <v>213.5</v>
      </c>
      <c r="Q465" s="254">
        <f>Q468+Q474</f>
        <v>500</v>
      </c>
      <c r="R465" s="255">
        <f>R468+R474</f>
        <v>600</v>
      </c>
    </row>
    <row r="466" spans="1:24" ht="13" x14ac:dyDescent="0.25">
      <c r="A466" s="229"/>
      <c r="B466" s="106" t="s">
        <v>507</v>
      </c>
      <c r="C466" s="110"/>
      <c r="D466" s="111" t="s">
        <v>33</v>
      </c>
      <c r="E466" s="111" t="s">
        <v>83</v>
      </c>
      <c r="F466" s="111" t="s">
        <v>508</v>
      </c>
      <c r="G466" s="110"/>
      <c r="H466" s="110"/>
      <c r="I466" s="111"/>
      <c r="J466" s="99">
        <f>J467</f>
        <v>198.2</v>
      </c>
      <c r="K466" s="99"/>
      <c r="L466" s="99">
        <f>L467+L473</f>
        <v>108</v>
      </c>
      <c r="M466" s="263">
        <f>M467+M473</f>
        <v>108</v>
      </c>
      <c r="N466" s="253">
        <f>N467+N473+N472</f>
        <v>1718.2093400000001</v>
      </c>
      <c r="O466" s="142">
        <f t="shared" ref="N466:S467" si="122">O467</f>
        <v>178.5</v>
      </c>
      <c r="P466" s="109">
        <f t="shared" si="122"/>
        <v>178.5</v>
      </c>
      <c r="Q466" s="254">
        <f>Q467+Q473</f>
        <v>500</v>
      </c>
      <c r="R466" s="255">
        <f>R467+R473</f>
        <v>600</v>
      </c>
    </row>
    <row r="467" spans="1:24" ht="26" x14ac:dyDescent="0.25">
      <c r="A467" s="229"/>
      <c r="B467" s="262" t="s">
        <v>283</v>
      </c>
      <c r="C467" s="110"/>
      <c r="D467" s="111" t="s">
        <v>33</v>
      </c>
      <c r="E467" s="111" t="s">
        <v>83</v>
      </c>
      <c r="F467" s="111" t="s">
        <v>508</v>
      </c>
      <c r="G467" s="111" t="s">
        <v>65</v>
      </c>
      <c r="H467" s="111"/>
      <c r="I467" s="111"/>
      <c r="J467" s="99">
        <f>J468</f>
        <v>198.2</v>
      </c>
      <c r="K467" s="99"/>
      <c r="L467" s="99">
        <v>105</v>
      </c>
      <c r="M467" s="263">
        <v>105</v>
      </c>
      <c r="N467" s="253">
        <f t="shared" si="122"/>
        <v>1280.3163400000001</v>
      </c>
      <c r="O467" s="142">
        <f t="shared" si="122"/>
        <v>178.5</v>
      </c>
      <c r="P467" s="109">
        <f t="shared" si="122"/>
        <v>178.5</v>
      </c>
      <c r="Q467" s="254">
        <f t="shared" si="122"/>
        <v>400</v>
      </c>
      <c r="R467" s="255">
        <f t="shared" si="122"/>
        <v>500</v>
      </c>
    </row>
    <row r="468" spans="1:24" ht="13" x14ac:dyDescent="0.25">
      <c r="A468" s="229"/>
      <c r="B468" s="100" t="s">
        <v>82</v>
      </c>
      <c r="C468" s="110"/>
      <c r="D468" s="111"/>
      <c r="E468" s="111"/>
      <c r="F468" s="111" t="s">
        <v>508</v>
      </c>
      <c r="G468" s="111" t="s">
        <v>65</v>
      </c>
      <c r="H468" s="111" t="s">
        <v>320</v>
      </c>
      <c r="I468" s="111" t="s">
        <v>509</v>
      </c>
      <c r="J468" s="99">
        <v>198.2</v>
      </c>
      <c r="K468" s="99"/>
      <c r="L468" s="99">
        <v>105</v>
      </c>
      <c r="M468" s="263">
        <v>105</v>
      </c>
      <c r="N468" s="253">
        <f>844.244+100+23.33734+77.897-380-25+356.787+112.426+98.5+72.125</f>
        <v>1280.3163400000001</v>
      </c>
      <c r="O468" s="142">
        <v>178.5</v>
      </c>
      <c r="P468" s="109">
        <v>178.5</v>
      </c>
      <c r="Q468" s="254">
        <v>400</v>
      </c>
      <c r="R468" s="255">
        <v>500</v>
      </c>
    </row>
    <row r="469" spans="1:24" ht="13" hidden="1" x14ac:dyDescent="0.25">
      <c r="A469" s="229"/>
      <c r="B469" s="447" t="s">
        <v>474</v>
      </c>
      <c r="C469" s="110"/>
      <c r="D469" s="111" t="s">
        <v>33</v>
      </c>
      <c r="E469" s="111" t="s">
        <v>83</v>
      </c>
      <c r="F469" s="111" t="s">
        <v>87</v>
      </c>
      <c r="G469" s="111" t="s">
        <v>510</v>
      </c>
      <c r="H469" s="111"/>
      <c r="I469" s="99"/>
      <c r="J469" s="99">
        <f>J470</f>
        <v>0</v>
      </c>
      <c r="K469" s="99"/>
      <c r="L469" s="99"/>
      <c r="M469" s="10"/>
      <c r="N469" s="253">
        <f>N470</f>
        <v>0</v>
      </c>
      <c r="O469" s="142">
        <f>O470</f>
        <v>0</v>
      </c>
      <c r="P469" s="109">
        <f>P470</f>
        <v>0</v>
      </c>
      <c r="Q469" s="254">
        <f>Q470</f>
        <v>0</v>
      </c>
      <c r="R469" s="255">
        <f>R470</f>
        <v>0</v>
      </c>
    </row>
    <row r="470" spans="1:24" ht="13" hidden="1" x14ac:dyDescent="0.25">
      <c r="A470" s="229"/>
      <c r="B470" s="100" t="s">
        <v>82</v>
      </c>
      <c r="C470" s="110"/>
      <c r="D470" s="111"/>
      <c r="E470" s="111"/>
      <c r="F470" s="111" t="s">
        <v>87</v>
      </c>
      <c r="G470" s="111" t="s">
        <v>510</v>
      </c>
      <c r="H470" s="111"/>
      <c r="I470" s="111" t="s">
        <v>83</v>
      </c>
      <c r="J470" s="99"/>
      <c r="K470" s="99"/>
      <c r="L470" s="99"/>
      <c r="M470" s="263"/>
      <c r="N470" s="253"/>
      <c r="O470" s="142"/>
      <c r="P470" s="109"/>
      <c r="Q470" s="254"/>
      <c r="R470" s="255"/>
    </row>
    <row r="471" spans="1:24" ht="13" x14ac:dyDescent="0.25">
      <c r="A471" s="229"/>
      <c r="B471" s="448" t="s">
        <v>474</v>
      </c>
      <c r="C471" s="110"/>
      <c r="D471" s="111"/>
      <c r="E471" s="111"/>
      <c r="F471" s="111" t="s">
        <v>508</v>
      </c>
      <c r="G471" s="111" t="s">
        <v>510</v>
      </c>
      <c r="H471" s="111"/>
      <c r="I471" s="111"/>
      <c r="J471" s="99"/>
      <c r="K471" s="99"/>
      <c r="L471" s="99"/>
      <c r="M471" s="263"/>
      <c r="N471" s="253">
        <f>N472</f>
        <v>387.89299999999997</v>
      </c>
      <c r="O471" s="142"/>
      <c r="P471" s="109"/>
      <c r="Q471" s="306">
        <f>Q472</f>
        <v>0</v>
      </c>
      <c r="R471" s="307">
        <f>R472</f>
        <v>0</v>
      </c>
    </row>
    <row r="472" spans="1:24" ht="13" x14ac:dyDescent="0.25">
      <c r="A472" s="229"/>
      <c r="B472" s="100" t="s">
        <v>82</v>
      </c>
      <c r="C472" s="110"/>
      <c r="D472" s="111"/>
      <c r="E472" s="111"/>
      <c r="F472" s="111" t="s">
        <v>508</v>
      </c>
      <c r="G472" s="111" t="s">
        <v>510</v>
      </c>
      <c r="H472" s="111" t="s">
        <v>320</v>
      </c>
      <c r="I472" s="111" t="s">
        <v>509</v>
      </c>
      <c r="J472" s="99"/>
      <c r="K472" s="99"/>
      <c r="L472" s="99"/>
      <c r="M472" s="263"/>
      <c r="N472" s="253">
        <f>2+218.134+10.75+10.879+25+62.423+28.707+6.406+23.594</f>
        <v>387.89299999999997</v>
      </c>
      <c r="O472" s="142"/>
      <c r="P472" s="109"/>
      <c r="Q472" s="306">
        <v>0</v>
      </c>
      <c r="R472" s="307">
        <v>0</v>
      </c>
    </row>
    <row r="473" spans="1:24" ht="13" x14ac:dyDescent="0.3">
      <c r="A473" s="229"/>
      <c r="B473" s="285" t="s">
        <v>88</v>
      </c>
      <c r="C473" s="110"/>
      <c r="D473" s="111" t="s">
        <v>33</v>
      </c>
      <c r="E473" s="111" t="s">
        <v>83</v>
      </c>
      <c r="F473" s="111" t="s">
        <v>508</v>
      </c>
      <c r="G473" s="111" t="s">
        <v>89</v>
      </c>
      <c r="H473" s="111"/>
      <c r="I473" s="111"/>
      <c r="J473" s="99">
        <f>J474</f>
        <v>15</v>
      </c>
      <c r="K473" s="99"/>
      <c r="L473" s="99">
        <v>3</v>
      </c>
      <c r="M473" s="263">
        <v>3</v>
      </c>
      <c r="N473" s="253">
        <f>N474</f>
        <v>50</v>
      </c>
      <c r="O473" s="142">
        <f>O474</f>
        <v>35</v>
      </c>
      <c r="P473" s="109">
        <f>P474</f>
        <v>35</v>
      </c>
      <c r="Q473" s="254">
        <f>Q474</f>
        <v>100</v>
      </c>
      <c r="R473" s="255">
        <f>R474</f>
        <v>100</v>
      </c>
    </row>
    <row r="474" spans="1:24" ht="13" x14ac:dyDescent="0.25">
      <c r="A474" s="229"/>
      <c r="B474" s="100" t="s">
        <v>82</v>
      </c>
      <c r="C474" s="110"/>
      <c r="D474" s="111"/>
      <c r="E474" s="111"/>
      <c r="F474" s="111" t="s">
        <v>508</v>
      </c>
      <c r="G474" s="111" t="s">
        <v>89</v>
      </c>
      <c r="H474" s="111" t="s">
        <v>320</v>
      </c>
      <c r="I474" s="111" t="s">
        <v>509</v>
      </c>
      <c r="J474" s="99">
        <f>13+2</f>
        <v>15</v>
      </c>
      <c r="K474" s="99"/>
      <c r="L474" s="99">
        <v>3</v>
      </c>
      <c r="M474" s="263">
        <v>3</v>
      </c>
      <c r="N474" s="253">
        <f>50</f>
        <v>50</v>
      </c>
      <c r="O474" s="142">
        <v>35</v>
      </c>
      <c r="P474" s="109">
        <v>35</v>
      </c>
      <c r="Q474" s="254">
        <v>100</v>
      </c>
      <c r="R474" s="255">
        <v>100</v>
      </c>
    </row>
    <row r="475" spans="1:24" s="66" customFormat="1" ht="39" x14ac:dyDescent="0.3">
      <c r="A475" s="245">
        <v>15</v>
      </c>
      <c r="B475" s="100" t="s">
        <v>73</v>
      </c>
      <c r="C475" s="111"/>
      <c r="D475" s="60" t="s">
        <v>33</v>
      </c>
      <c r="E475" s="110" t="s">
        <v>78</v>
      </c>
      <c r="F475" s="60" t="s">
        <v>511</v>
      </c>
      <c r="G475" s="60"/>
      <c r="H475" s="60"/>
      <c r="I475" s="110"/>
      <c r="J475" s="150">
        <f>J487+J499+J502+J514+J518+J548+J551+J562+J482+J534+J496+J484+J539+J542+J476+J492+J493+J592</f>
        <v>32462.342000000001</v>
      </c>
      <c r="K475" s="95"/>
      <c r="L475" s="102">
        <f>L487+L499+L502+L514+L518+L548+L551+L595+L482+L534</f>
        <v>13168.182999999999</v>
      </c>
      <c r="M475" s="350">
        <f>M487+M499+M502+M514+M518+M548+M551+M595+M482+M534</f>
        <v>13168.182999999999</v>
      </c>
      <c r="N475" s="248">
        <f>N479</f>
        <v>11556.039000000001</v>
      </c>
      <c r="O475" s="265">
        <f>O483+O489+O516+O533+O535+O538+O550+O564+O566+O594</f>
        <v>4416.915</v>
      </c>
      <c r="P475" s="105">
        <f>P483+P489+P516+P533+P535+P538+P550+P564+P566+P594</f>
        <v>4792.1499999999996</v>
      </c>
      <c r="Q475" s="266">
        <f>Q483+Q489+Q507+Q516+Q533+Q575+Q577+Q585+Q591+Q594</f>
        <v>7932.1220000000003</v>
      </c>
      <c r="R475" s="251">
        <f>R483+R489+R507+R510+R516+R533+R575+R577+R585+R591+R594</f>
        <v>7153.1509999999998</v>
      </c>
      <c r="S475" s="73"/>
      <c r="T475" s="73"/>
      <c r="U475" s="73"/>
      <c r="V475" s="73"/>
      <c r="W475" s="73"/>
      <c r="X475" s="73"/>
    </row>
    <row r="476" spans="1:24" s="66" customFormat="1" ht="26" hidden="1" x14ac:dyDescent="0.3">
      <c r="A476" s="245"/>
      <c r="B476" s="304" t="s">
        <v>512</v>
      </c>
      <c r="C476" s="111"/>
      <c r="D476" s="60"/>
      <c r="E476" s="110"/>
      <c r="F476" s="110" t="s">
        <v>513</v>
      </c>
      <c r="G476" s="60"/>
      <c r="H476" s="60"/>
      <c r="I476" s="110"/>
      <c r="J476" s="94"/>
      <c r="K476" s="95"/>
      <c r="L476" s="102"/>
      <c r="M476" s="350"/>
      <c r="N476" s="279"/>
      <c r="O476" s="280"/>
      <c r="P476" s="97"/>
      <c r="Q476" s="281"/>
      <c r="R476" s="282"/>
      <c r="S476" s="73"/>
      <c r="T476" s="73"/>
      <c r="U476" s="73"/>
      <c r="V476" s="73"/>
      <c r="W476" s="73"/>
      <c r="X476" s="73"/>
    </row>
    <row r="477" spans="1:24" s="66" customFormat="1" ht="26" hidden="1" x14ac:dyDescent="0.3">
      <c r="A477" s="245"/>
      <c r="B477" s="262" t="s">
        <v>283</v>
      </c>
      <c r="C477" s="111"/>
      <c r="D477" s="60"/>
      <c r="E477" s="110"/>
      <c r="F477" s="111" t="s">
        <v>513</v>
      </c>
      <c r="G477" s="111" t="s">
        <v>65</v>
      </c>
      <c r="H477" s="111"/>
      <c r="I477" s="110"/>
      <c r="J477" s="94"/>
      <c r="K477" s="95"/>
      <c r="L477" s="102"/>
      <c r="M477" s="350"/>
      <c r="N477" s="279"/>
      <c r="O477" s="280"/>
      <c r="P477" s="97"/>
      <c r="Q477" s="281"/>
      <c r="R477" s="282"/>
      <c r="S477" s="73"/>
      <c r="T477" s="73"/>
      <c r="U477" s="73"/>
      <c r="V477" s="73"/>
      <c r="W477" s="73"/>
      <c r="X477" s="73"/>
    </row>
    <row r="478" spans="1:24" s="66" customFormat="1" ht="13" hidden="1" x14ac:dyDescent="0.3">
      <c r="A478" s="245"/>
      <c r="B478" s="106" t="s">
        <v>224</v>
      </c>
      <c r="C478" s="111"/>
      <c r="D478" s="60"/>
      <c r="E478" s="110"/>
      <c r="F478" s="111" t="s">
        <v>513</v>
      </c>
      <c r="G478" s="111" t="s">
        <v>65</v>
      </c>
      <c r="H478" s="111"/>
      <c r="I478" s="89" t="s">
        <v>225</v>
      </c>
      <c r="J478" s="94"/>
      <c r="K478" s="95"/>
      <c r="L478" s="102"/>
      <c r="M478" s="350"/>
      <c r="N478" s="279"/>
      <c r="O478" s="280"/>
      <c r="P478" s="97"/>
      <c r="Q478" s="281"/>
      <c r="R478" s="282"/>
      <c r="S478" s="73"/>
      <c r="T478" s="73"/>
      <c r="U478" s="73"/>
      <c r="V478" s="73"/>
      <c r="W478" s="73"/>
      <c r="X478" s="73"/>
    </row>
    <row r="479" spans="1:24" s="66" customFormat="1" ht="13" x14ac:dyDescent="0.3">
      <c r="A479" s="245"/>
      <c r="B479" s="106" t="s">
        <v>504</v>
      </c>
      <c r="C479" s="111"/>
      <c r="D479" s="60"/>
      <c r="E479" s="110"/>
      <c r="F479" s="101" t="s">
        <v>514</v>
      </c>
      <c r="G479" s="111"/>
      <c r="H479" s="111"/>
      <c r="I479" s="89"/>
      <c r="J479" s="94">
        <f>J480</f>
        <v>32462.342000000001</v>
      </c>
      <c r="K479" s="95"/>
      <c r="L479" s="102"/>
      <c r="M479" s="350"/>
      <c r="N479" s="279">
        <f>N480</f>
        <v>11556.039000000001</v>
      </c>
      <c r="O479" s="280">
        <f>O480</f>
        <v>4416.915</v>
      </c>
      <c r="P479" s="97">
        <f>P480</f>
        <v>4792.1499999999996</v>
      </c>
      <c r="Q479" s="281">
        <f>Q480</f>
        <v>7932.1220000000003</v>
      </c>
      <c r="R479" s="282">
        <f>R480</f>
        <v>7153.1509999999998</v>
      </c>
      <c r="S479" s="73"/>
      <c r="T479" s="73"/>
      <c r="U479" s="73"/>
      <c r="V479" s="73"/>
      <c r="W479" s="73"/>
      <c r="X479" s="73"/>
    </row>
    <row r="480" spans="1:24" s="66" customFormat="1" ht="13" x14ac:dyDescent="0.3">
      <c r="A480" s="245"/>
      <c r="B480" s="106" t="s">
        <v>504</v>
      </c>
      <c r="C480" s="111"/>
      <c r="D480" s="60"/>
      <c r="E480" s="110"/>
      <c r="F480" s="101" t="s">
        <v>515</v>
      </c>
      <c r="G480" s="111"/>
      <c r="H480" s="111"/>
      <c r="I480" s="89"/>
      <c r="J480" s="94">
        <f>J475</f>
        <v>32462.342000000001</v>
      </c>
      <c r="K480" s="95"/>
      <c r="L480" s="102"/>
      <c r="M480" s="350"/>
      <c r="N480" s="279">
        <f>N483+N486+N489+N507+N510+N516+N527+N533+N572+N575+N577+N585+N594+N588+N522+N530+N580</f>
        <v>11556.039000000001</v>
      </c>
      <c r="O480" s="280">
        <f>O475</f>
        <v>4416.915</v>
      </c>
      <c r="P480" s="97">
        <f>P475</f>
        <v>4792.1499999999996</v>
      </c>
      <c r="Q480" s="281">
        <f>Q475</f>
        <v>7932.1220000000003</v>
      </c>
      <c r="R480" s="281">
        <f>R475</f>
        <v>7153.1509999999998</v>
      </c>
      <c r="S480" s="73"/>
      <c r="T480" s="73"/>
      <c r="U480" s="73"/>
      <c r="V480" s="73"/>
      <c r="W480" s="73"/>
      <c r="X480" s="73"/>
    </row>
    <row r="481" spans="1:24" s="66" customFormat="1" ht="13" x14ac:dyDescent="0.3">
      <c r="A481" s="245"/>
      <c r="B481" s="449" t="s">
        <v>516</v>
      </c>
      <c r="C481" s="111"/>
      <c r="D481" s="60"/>
      <c r="E481" s="110"/>
      <c r="F481" s="119" t="s">
        <v>517</v>
      </c>
      <c r="G481" s="111"/>
      <c r="H481" s="111"/>
      <c r="I481" s="89"/>
      <c r="J481" s="94">
        <f>J482</f>
        <v>48</v>
      </c>
      <c r="K481" s="95"/>
      <c r="L481" s="102"/>
      <c r="M481" s="350"/>
      <c r="N481" s="257">
        <f t="shared" ref="N481:R482" si="123">N482</f>
        <v>710.16499999999996</v>
      </c>
      <c r="O481" s="258">
        <f t="shared" si="123"/>
        <v>531.38</v>
      </c>
      <c r="P481" s="87">
        <f t="shared" si="123"/>
        <v>584.51300000000003</v>
      </c>
      <c r="Q481" s="259">
        <f t="shared" si="123"/>
        <v>639.61699999999996</v>
      </c>
      <c r="R481" s="260">
        <f t="shared" si="123"/>
        <v>665.20100000000002</v>
      </c>
      <c r="S481" s="73"/>
      <c r="T481" s="73"/>
      <c r="U481" s="73"/>
      <c r="V481" s="73"/>
      <c r="W481" s="73"/>
      <c r="X481" s="73"/>
    </row>
    <row r="482" spans="1:24" s="66" customFormat="1" ht="23.5" customHeight="1" x14ac:dyDescent="0.3">
      <c r="A482" s="245"/>
      <c r="B482" s="302" t="s">
        <v>414</v>
      </c>
      <c r="C482" s="83"/>
      <c r="D482" s="111" t="s">
        <v>241</v>
      </c>
      <c r="E482" s="111" t="s">
        <v>243</v>
      </c>
      <c r="F482" s="208" t="s">
        <v>517</v>
      </c>
      <c r="G482" s="89" t="s">
        <v>415</v>
      </c>
      <c r="H482" s="89"/>
      <c r="I482" s="83"/>
      <c r="J482" s="99">
        <f>J483</f>
        <v>48</v>
      </c>
      <c r="K482" s="99">
        <f>K483</f>
        <v>240.5</v>
      </c>
      <c r="L482" s="99">
        <f>L483</f>
        <v>240.5</v>
      </c>
      <c r="M482" s="263">
        <f>M483</f>
        <v>240.5</v>
      </c>
      <c r="N482" s="253">
        <f t="shared" si="123"/>
        <v>710.16499999999996</v>
      </c>
      <c r="O482" s="142">
        <f t="shared" si="123"/>
        <v>531.38</v>
      </c>
      <c r="P482" s="109">
        <f t="shared" si="123"/>
        <v>584.51300000000003</v>
      </c>
      <c r="Q482" s="254">
        <f t="shared" si="123"/>
        <v>639.61699999999996</v>
      </c>
      <c r="R482" s="255">
        <f t="shared" si="123"/>
        <v>665.20100000000002</v>
      </c>
      <c r="S482" s="73"/>
      <c r="T482" s="73"/>
      <c r="U482" s="73"/>
      <c r="V482" s="73"/>
      <c r="W482" s="73"/>
      <c r="X482" s="73"/>
    </row>
    <row r="483" spans="1:24" s="66" customFormat="1" ht="13" x14ac:dyDescent="0.3">
      <c r="A483" s="245"/>
      <c r="B483" s="112" t="s">
        <v>242</v>
      </c>
      <c r="C483" s="83"/>
      <c r="D483" s="111" t="s">
        <v>241</v>
      </c>
      <c r="E483" s="111" t="s">
        <v>243</v>
      </c>
      <c r="F483" s="208" t="s">
        <v>517</v>
      </c>
      <c r="G483" s="89" t="s">
        <v>415</v>
      </c>
      <c r="H483" s="89" t="s">
        <v>416</v>
      </c>
      <c r="I483" s="89" t="s">
        <v>320</v>
      </c>
      <c r="J483" s="99">
        <v>48</v>
      </c>
      <c r="K483" s="99">
        <v>240.5</v>
      </c>
      <c r="L483" s="99">
        <v>240.5</v>
      </c>
      <c r="M483" s="263">
        <v>240.5</v>
      </c>
      <c r="N483" s="279">
        <f>615.016+95.149</f>
        <v>710.16499999999996</v>
      </c>
      <c r="O483" s="142">
        <v>531.38</v>
      </c>
      <c r="P483" s="109">
        <v>584.51300000000003</v>
      </c>
      <c r="Q483" s="281">
        <v>639.61699999999996</v>
      </c>
      <c r="R483" s="282">
        <v>665.20100000000002</v>
      </c>
      <c r="S483" s="73"/>
      <c r="T483" s="73"/>
      <c r="U483" s="73"/>
      <c r="V483" s="73"/>
      <c r="W483" s="73"/>
      <c r="X483" s="73"/>
    </row>
    <row r="484" spans="1:24" s="66" customFormat="1" ht="21" x14ac:dyDescent="0.3">
      <c r="A484" s="245"/>
      <c r="B484" s="450" t="s">
        <v>518</v>
      </c>
      <c r="C484" s="111"/>
      <c r="D484" s="111" t="s">
        <v>149</v>
      </c>
      <c r="E484" s="111" t="s">
        <v>169</v>
      </c>
      <c r="F484" s="111" t="s">
        <v>519</v>
      </c>
      <c r="G484" s="89"/>
      <c r="H484" s="89"/>
      <c r="I484" s="89"/>
      <c r="J484" s="158"/>
      <c r="K484" s="99"/>
      <c r="L484" s="99"/>
      <c r="M484" s="263"/>
      <c r="N484" s="253">
        <f>N485</f>
        <v>180.93600000000001</v>
      </c>
      <c r="O484" s="345"/>
      <c r="P484" s="160"/>
      <c r="Q484" s="451">
        <f>Q485</f>
        <v>0</v>
      </c>
      <c r="R484" s="452">
        <f>R485</f>
        <v>0</v>
      </c>
      <c r="S484" s="73"/>
      <c r="T484" s="73"/>
      <c r="U484" s="73"/>
      <c r="V484" s="73"/>
      <c r="W484" s="73"/>
      <c r="X484" s="73"/>
    </row>
    <row r="485" spans="1:24" s="66" customFormat="1" ht="21" x14ac:dyDescent="0.3">
      <c r="A485" s="245"/>
      <c r="B485" s="453" t="s">
        <v>403</v>
      </c>
      <c r="C485" s="111"/>
      <c r="D485" s="111"/>
      <c r="E485" s="111"/>
      <c r="F485" s="111" t="s">
        <v>519</v>
      </c>
      <c r="G485" s="111" t="s">
        <v>391</v>
      </c>
      <c r="H485" s="111"/>
      <c r="I485" s="89"/>
      <c r="J485" s="158"/>
      <c r="K485" s="99"/>
      <c r="L485" s="99"/>
      <c r="M485" s="263"/>
      <c r="N485" s="253">
        <f>N486</f>
        <v>180.93600000000001</v>
      </c>
      <c r="O485" s="345"/>
      <c r="P485" s="160"/>
      <c r="Q485" s="451">
        <f>Q486</f>
        <v>0</v>
      </c>
      <c r="R485" s="452">
        <f>R486</f>
        <v>0</v>
      </c>
      <c r="S485" s="73"/>
      <c r="T485" s="73"/>
      <c r="U485" s="73"/>
      <c r="V485" s="73"/>
      <c r="W485" s="73"/>
      <c r="X485" s="73"/>
    </row>
    <row r="486" spans="1:24" s="66" customFormat="1" ht="13" x14ac:dyDescent="0.3">
      <c r="A486" s="245"/>
      <c r="B486" s="106" t="s">
        <v>168</v>
      </c>
      <c r="C486" s="111"/>
      <c r="D486" s="111"/>
      <c r="E486" s="111"/>
      <c r="F486" s="111" t="s">
        <v>519</v>
      </c>
      <c r="G486" s="111" t="s">
        <v>391</v>
      </c>
      <c r="H486" s="111" t="s">
        <v>285</v>
      </c>
      <c r="I486" s="111" t="s">
        <v>380</v>
      </c>
      <c r="J486" s="158"/>
      <c r="K486" s="99"/>
      <c r="L486" s="99"/>
      <c r="M486" s="263"/>
      <c r="N486" s="253">
        <v>180.93600000000001</v>
      </c>
      <c r="O486" s="345"/>
      <c r="P486" s="160"/>
      <c r="Q486" s="451">
        <v>0</v>
      </c>
      <c r="R486" s="452">
        <v>0</v>
      </c>
      <c r="S486" s="73"/>
      <c r="T486" s="73"/>
      <c r="U486" s="73"/>
      <c r="V486" s="73"/>
      <c r="W486" s="73"/>
      <c r="X486" s="73"/>
    </row>
    <row r="487" spans="1:24" ht="30" customHeight="1" x14ac:dyDescent="0.25">
      <c r="A487" s="229"/>
      <c r="B487" s="106" t="s">
        <v>79</v>
      </c>
      <c r="C487" s="111"/>
      <c r="D487" s="101" t="s">
        <v>33</v>
      </c>
      <c r="E487" s="111" t="s">
        <v>78</v>
      </c>
      <c r="F487" s="110" t="s">
        <v>520</v>
      </c>
      <c r="G487" s="101" t="s">
        <v>30</v>
      </c>
      <c r="H487" s="101"/>
      <c r="I487" s="111"/>
      <c r="J487" s="95">
        <f>J488</f>
        <v>2173</v>
      </c>
      <c r="K487" s="95"/>
      <c r="L487" s="95">
        <f t="shared" ref="L487:R487" si="124">L488</f>
        <v>2000</v>
      </c>
      <c r="M487" s="252">
        <f t="shared" si="124"/>
        <v>2000</v>
      </c>
      <c r="N487" s="248">
        <f t="shared" si="124"/>
        <v>70</v>
      </c>
      <c r="O487" s="265">
        <f t="shared" si="124"/>
        <v>2500.6</v>
      </c>
      <c r="P487" s="105">
        <f t="shared" si="124"/>
        <v>2701.74</v>
      </c>
      <c r="Q487" s="266">
        <f t="shared" si="124"/>
        <v>2900</v>
      </c>
      <c r="R487" s="251">
        <f t="shared" si="124"/>
        <v>2980</v>
      </c>
    </row>
    <row r="488" spans="1:24" ht="13" x14ac:dyDescent="0.3">
      <c r="A488" s="229"/>
      <c r="B488" s="118" t="s">
        <v>81</v>
      </c>
      <c r="C488" s="111"/>
      <c r="D488" s="101" t="s">
        <v>33</v>
      </c>
      <c r="E488" s="111" t="s">
        <v>78</v>
      </c>
      <c r="F488" s="111" t="s">
        <v>520</v>
      </c>
      <c r="G488" s="101">
        <v>870</v>
      </c>
      <c r="H488" s="101"/>
      <c r="I488" s="111"/>
      <c r="J488" s="95">
        <f>J489</f>
        <v>2173</v>
      </c>
      <c r="K488" s="95"/>
      <c r="L488" s="95">
        <v>2000</v>
      </c>
      <c r="M488" s="252">
        <v>2000</v>
      </c>
      <c r="N488" s="253">
        <f>N489</f>
        <v>70</v>
      </c>
      <c r="O488" s="142">
        <f>O489</f>
        <v>2500.6</v>
      </c>
      <c r="P488" s="109">
        <f>P489</f>
        <v>2701.74</v>
      </c>
      <c r="Q488" s="254">
        <f>Q489</f>
        <v>2900</v>
      </c>
      <c r="R488" s="255">
        <f>R489</f>
        <v>2980</v>
      </c>
    </row>
    <row r="489" spans="1:24" ht="13" x14ac:dyDescent="0.3">
      <c r="A489" s="229"/>
      <c r="B489" s="285" t="s">
        <v>77</v>
      </c>
      <c r="C489" s="111"/>
      <c r="D489" s="101"/>
      <c r="E489" s="111"/>
      <c r="F489" s="111" t="s">
        <v>520</v>
      </c>
      <c r="G489" s="101">
        <v>870</v>
      </c>
      <c r="H489" s="111" t="s">
        <v>320</v>
      </c>
      <c r="I489" s="111" t="s">
        <v>284</v>
      </c>
      <c r="J489" s="95">
        <f>2175-2</f>
        <v>2173</v>
      </c>
      <c r="K489" s="95"/>
      <c r="L489" s="95">
        <v>2000</v>
      </c>
      <c r="M489" s="252">
        <v>2000</v>
      </c>
      <c r="N489" s="253">
        <f>2870-870-1930</f>
        <v>70</v>
      </c>
      <c r="O489" s="142">
        <v>2500.6</v>
      </c>
      <c r="P489" s="109">
        <v>2701.74</v>
      </c>
      <c r="Q489" s="254">
        <v>2900</v>
      </c>
      <c r="R489" s="255">
        <v>2980</v>
      </c>
    </row>
    <row r="490" spans="1:24" ht="39" hidden="1" x14ac:dyDescent="0.25">
      <c r="A490" s="229"/>
      <c r="B490" s="262" t="s">
        <v>521</v>
      </c>
      <c r="C490" s="111"/>
      <c r="D490" s="101"/>
      <c r="E490" s="111"/>
      <c r="F490" s="110" t="s">
        <v>522</v>
      </c>
      <c r="G490" s="101"/>
      <c r="H490" s="101"/>
      <c r="I490" s="111"/>
      <c r="J490" s="95"/>
      <c r="K490" s="95"/>
      <c r="L490" s="95"/>
      <c r="M490" s="454"/>
      <c r="N490" s="253"/>
      <c r="O490" s="142"/>
      <c r="P490" s="109"/>
      <c r="Q490" s="254"/>
      <c r="R490" s="255"/>
    </row>
    <row r="491" spans="1:24" ht="26" hidden="1" x14ac:dyDescent="0.25">
      <c r="A491" s="229"/>
      <c r="B491" s="262" t="s">
        <v>283</v>
      </c>
      <c r="C491" s="111"/>
      <c r="D491" s="101"/>
      <c r="E491" s="111"/>
      <c r="F491" s="111" t="s">
        <v>522</v>
      </c>
      <c r="G491" s="111" t="s">
        <v>65</v>
      </c>
      <c r="H491" s="111"/>
      <c r="I491" s="111"/>
      <c r="J491" s="95"/>
      <c r="K491" s="95"/>
      <c r="L491" s="95"/>
      <c r="M491" s="454"/>
      <c r="N491" s="253"/>
      <c r="O491" s="142"/>
      <c r="P491" s="109"/>
      <c r="Q491" s="254"/>
      <c r="R491" s="255"/>
    </row>
    <row r="492" spans="1:24" ht="13" hidden="1" x14ac:dyDescent="0.25">
      <c r="A492" s="229"/>
      <c r="B492" s="106" t="s">
        <v>252</v>
      </c>
      <c r="C492" s="111"/>
      <c r="D492" s="101"/>
      <c r="E492" s="111"/>
      <c r="F492" s="111" t="s">
        <v>522</v>
      </c>
      <c r="G492" s="111" t="s">
        <v>65</v>
      </c>
      <c r="H492" s="111"/>
      <c r="I492" s="111" t="s">
        <v>253</v>
      </c>
      <c r="J492" s="95"/>
      <c r="K492" s="95"/>
      <c r="L492" s="95"/>
      <c r="M492" s="454"/>
      <c r="N492" s="253"/>
      <c r="O492" s="142"/>
      <c r="P492" s="109"/>
      <c r="Q492" s="254"/>
      <c r="R492" s="255"/>
    </row>
    <row r="493" spans="1:24" ht="26" hidden="1" x14ac:dyDescent="0.25">
      <c r="A493" s="229"/>
      <c r="B493" s="162" t="s">
        <v>523</v>
      </c>
      <c r="C493" s="111"/>
      <c r="D493" s="111" t="s">
        <v>149</v>
      </c>
      <c r="E493" s="111" t="s">
        <v>151</v>
      </c>
      <c r="F493" s="110" t="s">
        <v>524</v>
      </c>
      <c r="G493" s="157"/>
      <c r="H493" s="157"/>
      <c r="I493" s="111"/>
      <c r="J493" s="163">
        <f>J495</f>
        <v>0</v>
      </c>
      <c r="K493" s="95"/>
      <c r="L493" s="95"/>
      <c r="M493" s="454"/>
      <c r="N493" s="335">
        <f>N495</f>
        <v>0</v>
      </c>
      <c r="O493" s="168">
        <f>O495</f>
        <v>0</v>
      </c>
      <c r="P493" s="168">
        <f>P495</f>
        <v>0</v>
      </c>
      <c r="Q493" s="455">
        <f>Q495</f>
        <v>0</v>
      </c>
      <c r="R493" s="456">
        <f>R495</f>
        <v>0</v>
      </c>
    </row>
    <row r="494" spans="1:24" ht="13" hidden="1" x14ac:dyDescent="0.25">
      <c r="A494" s="229"/>
      <c r="B494" s="457" t="s">
        <v>378</v>
      </c>
      <c r="C494" s="111"/>
      <c r="D494" s="111"/>
      <c r="E494" s="111"/>
      <c r="F494" s="111" t="s">
        <v>524</v>
      </c>
      <c r="G494" s="111" t="s">
        <v>379</v>
      </c>
      <c r="H494" s="111"/>
      <c r="I494" s="111"/>
      <c r="J494" s="95"/>
      <c r="K494" s="95"/>
      <c r="L494" s="95"/>
      <c r="M494" s="454"/>
      <c r="N494" s="253"/>
      <c r="O494" s="142"/>
      <c r="P494" s="109"/>
      <c r="Q494" s="254"/>
      <c r="R494" s="255"/>
    </row>
    <row r="495" spans="1:24" ht="13" hidden="1" x14ac:dyDescent="0.3">
      <c r="A495" s="229"/>
      <c r="B495" s="118" t="s">
        <v>150</v>
      </c>
      <c r="C495" s="111"/>
      <c r="D495" s="111" t="s">
        <v>149</v>
      </c>
      <c r="E495" s="111" t="s">
        <v>151</v>
      </c>
      <c r="F495" s="111" t="s">
        <v>524</v>
      </c>
      <c r="G495" s="111" t="s">
        <v>379</v>
      </c>
      <c r="H495" s="111"/>
      <c r="I495" s="111" t="s">
        <v>151</v>
      </c>
      <c r="J495" s="95"/>
      <c r="K495" s="95"/>
      <c r="L495" s="95"/>
      <c r="M495" s="454"/>
      <c r="N495" s="253"/>
      <c r="O495" s="142"/>
      <c r="P495" s="109"/>
      <c r="Q495" s="254"/>
      <c r="R495" s="255"/>
    </row>
    <row r="496" spans="1:24" ht="26" hidden="1" x14ac:dyDescent="0.25">
      <c r="A496" s="229"/>
      <c r="B496" s="303" t="s">
        <v>525</v>
      </c>
      <c r="C496" s="111"/>
      <c r="D496" s="101"/>
      <c r="E496" s="111"/>
      <c r="F496" s="110" t="s">
        <v>526</v>
      </c>
      <c r="G496" s="101"/>
      <c r="H496" s="101"/>
      <c r="I496" s="111"/>
      <c r="J496" s="95"/>
      <c r="K496" s="95"/>
      <c r="L496" s="95"/>
      <c r="M496" s="454"/>
      <c r="N496" s="248"/>
      <c r="O496" s="142"/>
      <c r="P496" s="109"/>
      <c r="Q496" s="266"/>
      <c r="R496" s="251"/>
    </row>
    <row r="497" spans="1:24" ht="26" hidden="1" x14ac:dyDescent="0.3">
      <c r="A497" s="229"/>
      <c r="B497" s="262" t="s">
        <v>283</v>
      </c>
      <c r="C497" s="83"/>
      <c r="D497" s="111" t="s">
        <v>119</v>
      </c>
      <c r="E497" s="111" t="s">
        <v>121</v>
      </c>
      <c r="F497" s="111" t="s">
        <v>526</v>
      </c>
      <c r="G497" s="101">
        <v>240</v>
      </c>
      <c r="H497" s="101"/>
      <c r="I497" s="99"/>
      <c r="J497" s="95"/>
      <c r="K497" s="99"/>
      <c r="L497" s="99"/>
      <c r="M497" s="73"/>
      <c r="N497" s="253"/>
      <c r="O497" s="142"/>
      <c r="P497" s="109"/>
      <c r="Q497" s="254"/>
      <c r="R497" s="255"/>
    </row>
    <row r="498" spans="1:24" ht="13" hidden="1" x14ac:dyDescent="0.3">
      <c r="A498" s="229"/>
      <c r="B498" s="112" t="s">
        <v>120</v>
      </c>
      <c r="C498" s="83"/>
      <c r="D498" s="111"/>
      <c r="E498" s="111"/>
      <c r="F498" s="111" t="s">
        <v>526</v>
      </c>
      <c r="G498" s="101">
        <v>240</v>
      </c>
      <c r="H498" s="111" t="s">
        <v>298</v>
      </c>
      <c r="I498" s="111" t="s">
        <v>338</v>
      </c>
      <c r="J498" s="95"/>
      <c r="K498" s="99"/>
      <c r="L498" s="99"/>
      <c r="M498" s="73"/>
      <c r="N498" s="253"/>
      <c r="O498" s="142"/>
      <c r="P498" s="109"/>
      <c r="Q498" s="254"/>
      <c r="R498" s="255"/>
    </row>
    <row r="499" spans="1:24" s="66" customFormat="1" ht="13" hidden="1" x14ac:dyDescent="0.3">
      <c r="A499" s="271"/>
      <c r="B499" s="106" t="s">
        <v>142</v>
      </c>
      <c r="C499" s="111"/>
      <c r="D499" s="111" t="s">
        <v>119</v>
      </c>
      <c r="E499" s="111" t="s">
        <v>135</v>
      </c>
      <c r="F499" s="110" t="s">
        <v>143</v>
      </c>
      <c r="G499" s="110"/>
      <c r="H499" s="110"/>
      <c r="I499" s="111"/>
      <c r="J499" s="103">
        <f>J500</f>
        <v>0</v>
      </c>
      <c r="K499" s="103"/>
      <c r="L499" s="103">
        <f t="shared" ref="L499:R499" si="125">L500</f>
        <v>0</v>
      </c>
      <c r="M499" s="264">
        <f t="shared" si="125"/>
        <v>0</v>
      </c>
      <c r="N499" s="248">
        <f t="shared" si="125"/>
        <v>0</v>
      </c>
      <c r="O499" s="265">
        <f t="shared" si="125"/>
        <v>0</v>
      </c>
      <c r="P499" s="105">
        <f t="shared" si="125"/>
        <v>0</v>
      </c>
      <c r="Q499" s="266">
        <f t="shared" si="125"/>
        <v>0</v>
      </c>
      <c r="R499" s="251">
        <f t="shared" si="125"/>
        <v>0</v>
      </c>
      <c r="S499" s="73"/>
      <c r="T499" s="73"/>
      <c r="U499" s="73"/>
      <c r="V499" s="73"/>
      <c r="W499" s="73"/>
      <c r="X499" s="73"/>
    </row>
    <row r="500" spans="1:24" s="66" customFormat="1" ht="26" hidden="1" x14ac:dyDescent="0.3">
      <c r="A500" s="271"/>
      <c r="B500" s="262" t="s">
        <v>283</v>
      </c>
      <c r="C500" s="111"/>
      <c r="D500" s="111" t="s">
        <v>119</v>
      </c>
      <c r="E500" s="111" t="s">
        <v>135</v>
      </c>
      <c r="F500" s="111" t="s">
        <v>143</v>
      </c>
      <c r="G500" s="111" t="s">
        <v>65</v>
      </c>
      <c r="H500" s="111"/>
      <c r="I500" s="111"/>
      <c r="J500" s="99">
        <f>J501</f>
        <v>0</v>
      </c>
      <c r="K500" s="99"/>
      <c r="L500" s="99"/>
      <c r="M500" s="263"/>
      <c r="N500" s="253">
        <f>N501</f>
        <v>0</v>
      </c>
      <c r="O500" s="142">
        <f>O501</f>
        <v>0</v>
      </c>
      <c r="P500" s="109">
        <f>P501</f>
        <v>0</v>
      </c>
      <c r="Q500" s="254">
        <f>Q501</f>
        <v>0</v>
      </c>
      <c r="R500" s="255">
        <f>R501</f>
        <v>0</v>
      </c>
      <c r="S500" s="73"/>
      <c r="T500" s="73"/>
      <c r="U500" s="73"/>
      <c r="V500" s="73"/>
      <c r="W500" s="73"/>
      <c r="X500" s="73"/>
    </row>
    <row r="501" spans="1:24" s="66" customFormat="1" ht="13" hidden="1" x14ac:dyDescent="0.3">
      <c r="A501" s="271"/>
      <c r="B501" s="285" t="s">
        <v>134</v>
      </c>
      <c r="C501" s="111"/>
      <c r="D501" s="111"/>
      <c r="E501" s="111"/>
      <c r="F501" s="111" t="s">
        <v>143</v>
      </c>
      <c r="G501" s="111" t="s">
        <v>65</v>
      </c>
      <c r="H501" s="111"/>
      <c r="I501" s="111" t="s">
        <v>135</v>
      </c>
      <c r="J501" s="99"/>
      <c r="K501" s="99"/>
      <c r="L501" s="99"/>
      <c r="M501" s="263"/>
      <c r="N501" s="253"/>
      <c r="O501" s="142"/>
      <c r="P501" s="109"/>
      <c r="Q501" s="254"/>
      <c r="R501" s="255"/>
      <c r="S501" s="73"/>
      <c r="T501" s="73"/>
      <c r="U501" s="73"/>
      <c r="V501" s="73"/>
      <c r="W501" s="73"/>
      <c r="X501" s="73"/>
    </row>
    <row r="502" spans="1:24" s="66" customFormat="1" ht="13" hidden="1" x14ac:dyDescent="0.3">
      <c r="A502" s="271"/>
      <c r="B502" s="106" t="s">
        <v>144</v>
      </c>
      <c r="C502" s="111"/>
      <c r="D502" s="111" t="s">
        <v>119</v>
      </c>
      <c r="E502" s="111" t="s">
        <v>135</v>
      </c>
      <c r="F502" s="110" t="s">
        <v>527</v>
      </c>
      <c r="G502" s="111"/>
      <c r="H502" s="111"/>
      <c r="I502" s="111"/>
      <c r="J502" s="103">
        <f>J503</f>
        <v>94.8</v>
      </c>
      <c r="K502" s="103"/>
      <c r="L502" s="103">
        <f t="shared" ref="L502:R502" si="126">L503</f>
        <v>64.8</v>
      </c>
      <c r="M502" s="264">
        <f t="shared" si="126"/>
        <v>64.8</v>
      </c>
      <c r="N502" s="248">
        <f t="shared" si="126"/>
        <v>0</v>
      </c>
      <c r="O502" s="265">
        <f t="shared" si="126"/>
        <v>0</v>
      </c>
      <c r="P502" s="105">
        <f t="shared" si="126"/>
        <v>0</v>
      </c>
      <c r="Q502" s="266">
        <f t="shared" si="126"/>
        <v>0</v>
      </c>
      <c r="R502" s="251">
        <f t="shared" si="126"/>
        <v>0</v>
      </c>
      <c r="S502" s="73"/>
      <c r="T502" s="73"/>
      <c r="U502" s="73"/>
      <c r="V502" s="73"/>
      <c r="W502" s="73"/>
      <c r="X502" s="73"/>
    </row>
    <row r="503" spans="1:24" s="66" customFormat="1" ht="26" hidden="1" x14ac:dyDescent="0.3">
      <c r="A503" s="271"/>
      <c r="B503" s="262" t="s">
        <v>283</v>
      </c>
      <c r="C503" s="111"/>
      <c r="D503" s="111" t="s">
        <v>119</v>
      </c>
      <c r="E503" s="111" t="s">
        <v>135</v>
      </c>
      <c r="F503" s="111" t="s">
        <v>527</v>
      </c>
      <c r="G503" s="111" t="s">
        <v>65</v>
      </c>
      <c r="H503" s="111"/>
      <c r="I503" s="111"/>
      <c r="J503" s="99">
        <f>J504</f>
        <v>94.8</v>
      </c>
      <c r="K503" s="99"/>
      <c r="L503" s="99">
        <v>64.8</v>
      </c>
      <c r="M503" s="263">
        <v>64.8</v>
      </c>
      <c r="N503" s="253">
        <f>N504</f>
        <v>0</v>
      </c>
      <c r="O503" s="142">
        <f>O504</f>
        <v>0</v>
      </c>
      <c r="P503" s="109">
        <f>P504</f>
        <v>0</v>
      </c>
      <c r="Q503" s="254">
        <f>Q504</f>
        <v>0</v>
      </c>
      <c r="R503" s="255">
        <f>R504</f>
        <v>0</v>
      </c>
      <c r="S503" s="73"/>
      <c r="T503" s="73"/>
      <c r="U503" s="73"/>
      <c r="V503" s="73"/>
      <c r="W503" s="73"/>
      <c r="X503" s="73"/>
    </row>
    <row r="504" spans="1:24" s="66" customFormat="1" ht="13" hidden="1" x14ac:dyDescent="0.3">
      <c r="A504" s="271"/>
      <c r="B504" s="285" t="s">
        <v>134</v>
      </c>
      <c r="C504" s="111"/>
      <c r="D504" s="111"/>
      <c r="E504" s="111"/>
      <c r="F504" s="111" t="s">
        <v>527</v>
      </c>
      <c r="G504" s="111" t="s">
        <v>65</v>
      </c>
      <c r="H504" s="111"/>
      <c r="I504" s="111" t="s">
        <v>135</v>
      </c>
      <c r="J504" s="99">
        <v>94.8</v>
      </c>
      <c r="K504" s="99"/>
      <c r="L504" s="99">
        <v>64.8</v>
      </c>
      <c r="M504" s="263">
        <v>64.8</v>
      </c>
      <c r="N504" s="253"/>
      <c r="O504" s="142"/>
      <c r="P504" s="109"/>
      <c r="Q504" s="254"/>
      <c r="R504" s="255"/>
      <c r="S504" s="73"/>
      <c r="T504" s="73"/>
      <c r="U504" s="73"/>
      <c r="V504" s="73"/>
      <c r="W504" s="73"/>
      <c r="X504" s="73"/>
    </row>
    <row r="505" spans="1:24" s="66" customFormat="1" ht="13" x14ac:dyDescent="0.3">
      <c r="A505" s="271"/>
      <c r="B505" s="106" t="s">
        <v>142</v>
      </c>
      <c r="C505" s="111"/>
      <c r="D505" s="111"/>
      <c r="E505" s="111"/>
      <c r="F505" s="83" t="s">
        <v>528</v>
      </c>
      <c r="G505" s="111"/>
      <c r="H505" s="111"/>
      <c r="I505" s="458"/>
      <c r="J505" s="263"/>
      <c r="K505" s="459"/>
      <c r="L505" s="459"/>
      <c r="M505" s="459"/>
      <c r="N505" s="248">
        <f>N506</f>
        <v>511.5</v>
      </c>
      <c r="O505" s="460"/>
      <c r="P505" s="460"/>
      <c r="Q505" s="266">
        <f>Q506</f>
        <v>897.29499999999996</v>
      </c>
      <c r="R505" s="251">
        <f>R506</f>
        <v>182.54</v>
      </c>
      <c r="S505" s="73"/>
      <c r="T505" s="73"/>
      <c r="U505" s="73"/>
      <c r="V505" s="73"/>
      <c r="W505" s="73"/>
      <c r="X505" s="73"/>
    </row>
    <row r="506" spans="1:24" s="66" customFormat="1" ht="13" x14ac:dyDescent="0.3">
      <c r="A506" s="271"/>
      <c r="B506" s="118" t="s">
        <v>42</v>
      </c>
      <c r="C506" s="111"/>
      <c r="D506" s="111"/>
      <c r="E506" s="111"/>
      <c r="F506" s="89" t="s">
        <v>528</v>
      </c>
      <c r="G506" s="111" t="s">
        <v>65</v>
      </c>
      <c r="H506" s="111"/>
      <c r="I506" s="458"/>
      <c r="J506" s="263"/>
      <c r="K506" s="459"/>
      <c r="L506" s="459"/>
      <c r="M506" s="459"/>
      <c r="N506" s="253">
        <f>N507</f>
        <v>511.5</v>
      </c>
      <c r="O506" s="460"/>
      <c r="P506" s="460"/>
      <c r="Q506" s="254">
        <f>Q507</f>
        <v>897.29499999999996</v>
      </c>
      <c r="R506" s="255">
        <f>R507</f>
        <v>182.54</v>
      </c>
      <c r="S506" s="73"/>
      <c r="T506" s="73"/>
      <c r="U506" s="73"/>
      <c r="V506" s="73"/>
      <c r="W506" s="73"/>
      <c r="X506" s="73"/>
    </row>
    <row r="507" spans="1:24" s="66" customFormat="1" ht="13" x14ac:dyDescent="0.3">
      <c r="A507" s="271"/>
      <c r="B507" s="285" t="s">
        <v>134</v>
      </c>
      <c r="C507" s="111"/>
      <c r="D507" s="111"/>
      <c r="E507" s="111"/>
      <c r="F507" s="89" t="s">
        <v>528</v>
      </c>
      <c r="G507" s="111" t="s">
        <v>65</v>
      </c>
      <c r="H507" s="111" t="s">
        <v>298</v>
      </c>
      <c r="I507" s="458" t="s">
        <v>299</v>
      </c>
      <c r="J507" s="263"/>
      <c r="K507" s="459"/>
      <c r="L507" s="459"/>
      <c r="M507" s="459"/>
      <c r="N507" s="253">
        <f>500+170-57.817-22.257-0.09-19.106-59.23</f>
        <v>511.5</v>
      </c>
      <c r="O507" s="460"/>
      <c r="P507" s="460"/>
      <c r="Q507" s="254">
        <f>902.4-5.105</f>
        <v>897.29499999999996</v>
      </c>
      <c r="R507" s="255">
        <f>248.7-5-95+33.84</f>
        <v>182.54</v>
      </c>
      <c r="S507" s="73"/>
      <c r="T507" s="73"/>
      <c r="U507" s="73"/>
      <c r="V507" s="73"/>
      <c r="W507" s="73"/>
      <c r="X507" s="73"/>
    </row>
    <row r="508" spans="1:24" s="66" customFormat="1" ht="13" x14ac:dyDescent="0.3">
      <c r="A508" s="271"/>
      <c r="B508" s="461" t="s">
        <v>529</v>
      </c>
      <c r="C508" s="111"/>
      <c r="D508" s="111"/>
      <c r="E508" s="111"/>
      <c r="F508" s="83" t="s">
        <v>527</v>
      </c>
      <c r="G508" s="111"/>
      <c r="H508" s="111"/>
      <c r="I508" s="458"/>
      <c r="J508" s="263"/>
      <c r="K508" s="459"/>
      <c r="L508" s="459"/>
      <c r="M508" s="459"/>
      <c r="N508" s="248">
        <f>N509</f>
        <v>34.199999999999996</v>
      </c>
      <c r="O508" s="460"/>
      <c r="P508" s="460"/>
      <c r="Q508" s="266"/>
      <c r="R508" s="251"/>
      <c r="S508" s="73"/>
      <c r="T508" s="73"/>
      <c r="U508" s="73"/>
      <c r="V508" s="73"/>
      <c r="W508" s="73"/>
      <c r="X508" s="73"/>
    </row>
    <row r="509" spans="1:24" s="66" customFormat="1" ht="13" x14ac:dyDescent="0.3">
      <c r="A509" s="271"/>
      <c r="B509" s="118" t="s">
        <v>42</v>
      </c>
      <c r="C509" s="111"/>
      <c r="D509" s="111"/>
      <c r="E509" s="111"/>
      <c r="F509" s="89" t="s">
        <v>527</v>
      </c>
      <c r="G509" s="111" t="s">
        <v>65</v>
      </c>
      <c r="H509" s="111"/>
      <c r="I509" s="458"/>
      <c r="J509" s="263"/>
      <c r="K509" s="459"/>
      <c r="L509" s="459"/>
      <c r="M509" s="459"/>
      <c r="N509" s="253">
        <f>N510</f>
        <v>34.199999999999996</v>
      </c>
      <c r="O509" s="460"/>
      <c r="P509" s="460"/>
      <c r="Q509" s="254"/>
      <c r="R509" s="255"/>
      <c r="S509" s="73"/>
      <c r="T509" s="73"/>
      <c r="U509" s="73"/>
      <c r="V509" s="73"/>
      <c r="W509" s="73"/>
      <c r="X509" s="73"/>
    </row>
    <row r="510" spans="1:24" s="66" customFormat="1" ht="13" x14ac:dyDescent="0.3">
      <c r="A510" s="271"/>
      <c r="B510" s="285" t="s">
        <v>134</v>
      </c>
      <c r="C510" s="111"/>
      <c r="D510" s="111"/>
      <c r="E510" s="111"/>
      <c r="F510" s="89" t="s">
        <v>527</v>
      </c>
      <c r="G510" s="111" t="s">
        <v>65</v>
      </c>
      <c r="H510" s="111" t="s">
        <v>298</v>
      </c>
      <c r="I510" s="458" t="s">
        <v>299</v>
      </c>
      <c r="J510" s="263"/>
      <c r="K510" s="459"/>
      <c r="L510" s="459"/>
      <c r="M510" s="459"/>
      <c r="N510" s="253">
        <f>94.8-60.6</f>
        <v>34.199999999999996</v>
      </c>
      <c r="O510" s="460"/>
      <c r="P510" s="460"/>
      <c r="Q510" s="254"/>
      <c r="R510" s="255"/>
      <c r="S510" s="73"/>
      <c r="T510" s="73"/>
      <c r="U510" s="73"/>
      <c r="V510" s="73"/>
      <c r="W510" s="73"/>
      <c r="X510" s="73"/>
    </row>
    <row r="511" spans="1:24" s="66" customFormat="1" ht="39" hidden="1" x14ac:dyDescent="0.3">
      <c r="A511" s="271"/>
      <c r="B511" s="462" t="s">
        <v>530</v>
      </c>
      <c r="C511" s="111"/>
      <c r="D511" s="111"/>
      <c r="E511" s="111"/>
      <c r="F511" s="83" t="s">
        <v>531</v>
      </c>
      <c r="G511" s="111"/>
      <c r="H511" s="111"/>
      <c r="I511" s="458"/>
      <c r="J511" s="263"/>
      <c r="K511" s="459"/>
      <c r="L511" s="459"/>
      <c r="M511" s="459"/>
      <c r="N511" s="248">
        <f>N512</f>
        <v>0</v>
      </c>
      <c r="O511" s="460"/>
      <c r="P511" s="460"/>
      <c r="Q511" s="266">
        <f>Q512</f>
        <v>0</v>
      </c>
      <c r="R511" s="251">
        <f>R512</f>
        <v>0</v>
      </c>
      <c r="S511" s="73"/>
      <c r="T511" s="73"/>
      <c r="U511" s="73"/>
      <c r="V511" s="73"/>
      <c r="W511" s="73"/>
      <c r="X511" s="73"/>
    </row>
    <row r="512" spans="1:24" ht="13" hidden="1" x14ac:dyDescent="0.3">
      <c r="A512" s="463"/>
      <c r="B512" s="118" t="s">
        <v>42</v>
      </c>
      <c r="C512" s="464" t="s">
        <v>32</v>
      </c>
      <c r="D512" s="464" t="s">
        <v>320</v>
      </c>
      <c r="E512" s="464" t="s">
        <v>309</v>
      </c>
      <c r="F512" s="89" t="s">
        <v>531</v>
      </c>
      <c r="G512" s="401" t="s">
        <v>65</v>
      </c>
      <c r="H512" s="465"/>
      <c r="I512" s="466"/>
      <c r="J512" s="467"/>
      <c r="K512" s="300"/>
      <c r="L512" s="10"/>
      <c r="M512" s="10"/>
      <c r="N512" s="444">
        <f>N513</f>
        <v>0</v>
      </c>
      <c r="O512" s="468"/>
      <c r="P512" s="468"/>
      <c r="Q512" s="469">
        <f>Q513</f>
        <v>0</v>
      </c>
      <c r="R512" s="470">
        <f>R513</f>
        <v>0</v>
      </c>
      <c r="S512" s="1"/>
      <c r="T512" s="1"/>
      <c r="U512" s="1"/>
      <c r="V512" s="1"/>
      <c r="W512" s="1"/>
      <c r="X512" s="1"/>
    </row>
    <row r="513" spans="1:24" ht="13" hidden="1" x14ac:dyDescent="0.3">
      <c r="A513" s="471"/>
      <c r="B513" s="448" t="s">
        <v>71</v>
      </c>
      <c r="C513" s="464" t="s">
        <v>32</v>
      </c>
      <c r="D513" s="464" t="s">
        <v>320</v>
      </c>
      <c r="E513" s="464" t="s">
        <v>309</v>
      </c>
      <c r="F513" s="89" t="s">
        <v>531</v>
      </c>
      <c r="G513" s="401" t="s">
        <v>65</v>
      </c>
      <c r="H513" s="111" t="s">
        <v>320</v>
      </c>
      <c r="I513" s="111" t="s">
        <v>309</v>
      </c>
      <c r="J513" s="467"/>
      <c r="K513" s="300"/>
      <c r="L513" s="10"/>
      <c r="M513" s="10"/>
      <c r="N513" s="444">
        <v>0</v>
      </c>
      <c r="O513" s="468"/>
      <c r="P513" s="468"/>
      <c r="Q513" s="469">
        <v>0</v>
      </c>
      <c r="R513" s="470">
        <v>0</v>
      </c>
      <c r="S513" s="1"/>
      <c r="T513" s="1"/>
      <c r="U513" s="1"/>
      <c r="V513" s="1"/>
      <c r="W513" s="1"/>
      <c r="X513" s="1"/>
    </row>
    <row r="514" spans="1:24" s="66" customFormat="1" ht="13" x14ac:dyDescent="0.3">
      <c r="A514" s="271"/>
      <c r="B514" s="472" t="s">
        <v>532</v>
      </c>
      <c r="C514" s="111"/>
      <c r="D514" s="111" t="s">
        <v>119</v>
      </c>
      <c r="E514" s="111" t="s">
        <v>135</v>
      </c>
      <c r="F514" s="110" t="s">
        <v>533</v>
      </c>
      <c r="G514" s="111"/>
      <c r="H514" s="111"/>
      <c r="I514" s="111"/>
      <c r="J514" s="102">
        <f>J515</f>
        <v>3163.5070000000001</v>
      </c>
      <c r="K514" s="103"/>
      <c r="L514" s="103">
        <f t="shared" ref="L514:R514" si="127">L515</f>
        <v>0</v>
      </c>
      <c r="M514" s="264">
        <f t="shared" si="127"/>
        <v>0</v>
      </c>
      <c r="N514" s="248">
        <f t="shared" si="127"/>
        <v>951.72300000000007</v>
      </c>
      <c r="O514" s="265">
        <f t="shared" si="127"/>
        <v>0</v>
      </c>
      <c r="P514" s="105">
        <f t="shared" si="127"/>
        <v>0</v>
      </c>
      <c r="Q514" s="266">
        <f t="shared" si="127"/>
        <v>504</v>
      </c>
      <c r="R514" s="251">
        <f t="shared" si="127"/>
        <v>304</v>
      </c>
      <c r="S514" s="73"/>
      <c r="T514" s="73"/>
      <c r="U514" s="73"/>
      <c r="V514" s="73"/>
      <c r="W514" s="73"/>
      <c r="X514" s="73"/>
    </row>
    <row r="515" spans="1:24" s="66" customFormat="1" ht="13" x14ac:dyDescent="0.3">
      <c r="A515" s="271"/>
      <c r="B515" s="118" t="s">
        <v>42</v>
      </c>
      <c r="C515" s="111"/>
      <c r="D515" s="111" t="s">
        <v>119</v>
      </c>
      <c r="E515" s="111" t="s">
        <v>135</v>
      </c>
      <c r="F515" s="111" t="s">
        <v>533</v>
      </c>
      <c r="G515" s="111" t="s">
        <v>65</v>
      </c>
      <c r="H515" s="111"/>
      <c r="I515" s="111"/>
      <c r="J515" s="95">
        <f>J516</f>
        <v>3163.5070000000001</v>
      </c>
      <c r="K515" s="103"/>
      <c r="L515" s="103"/>
      <c r="M515" s="264"/>
      <c r="N515" s="253">
        <f>N516</f>
        <v>951.72300000000007</v>
      </c>
      <c r="O515" s="142">
        <f>O516</f>
        <v>0</v>
      </c>
      <c r="P515" s="109">
        <f>P516</f>
        <v>0</v>
      </c>
      <c r="Q515" s="254">
        <f>Q516</f>
        <v>504</v>
      </c>
      <c r="R515" s="255">
        <f>R516</f>
        <v>304</v>
      </c>
      <c r="S515" s="73"/>
      <c r="T515" s="73"/>
      <c r="U515" s="73"/>
      <c r="V515" s="73"/>
      <c r="W515" s="73"/>
      <c r="X515" s="73"/>
    </row>
    <row r="516" spans="1:24" s="66" customFormat="1" ht="13" x14ac:dyDescent="0.3">
      <c r="A516" s="271"/>
      <c r="B516" s="285" t="s">
        <v>134</v>
      </c>
      <c r="C516" s="111"/>
      <c r="D516" s="111"/>
      <c r="E516" s="111"/>
      <c r="F516" s="111" t="s">
        <v>533</v>
      </c>
      <c r="G516" s="111" t="s">
        <v>65</v>
      </c>
      <c r="H516" s="111" t="s">
        <v>298</v>
      </c>
      <c r="I516" s="111" t="s">
        <v>299</v>
      </c>
      <c r="J516" s="473">
        <v>3163.5070000000001</v>
      </c>
      <c r="K516" s="103"/>
      <c r="L516" s="103"/>
      <c r="M516" s="264"/>
      <c r="N516" s="253">
        <f>905.2+450+500-750-138.072-15.405</f>
        <v>951.72300000000007</v>
      </c>
      <c r="O516" s="142"/>
      <c r="P516" s="109"/>
      <c r="Q516" s="254">
        <v>504</v>
      </c>
      <c r="R516" s="255">
        <v>304</v>
      </c>
      <c r="S516" s="73"/>
      <c r="T516" s="73"/>
      <c r="U516" s="73"/>
      <c r="V516" s="73"/>
      <c r="W516" s="73"/>
      <c r="X516" s="73"/>
    </row>
    <row r="517" spans="1:24" s="66" customFormat="1" ht="39" hidden="1" x14ac:dyDescent="0.3">
      <c r="A517" s="271"/>
      <c r="B517" s="100" t="s">
        <v>73</v>
      </c>
      <c r="C517" s="111"/>
      <c r="D517" s="110" t="s">
        <v>149</v>
      </c>
      <c r="E517" s="110" t="s">
        <v>169</v>
      </c>
      <c r="F517" s="110" t="s">
        <v>74</v>
      </c>
      <c r="G517" s="157"/>
      <c r="H517" s="157"/>
      <c r="I517" s="110"/>
      <c r="J517" s="132">
        <f>J518</f>
        <v>182.53199999999998</v>
      </c>
      <c r="K517" s="133"/>
      <c r="L517" s="133">
        <f t="shared" ref="L517:R517" si="128">L518</f>
        <v>85</v>
      </c>
      <c r="M517" s="268">
        <f t="shared" si="128"/>
        <v>85</v>
      </c>
      <c r="N517" s="248">
        <f t="shared" si="128"/>
        <v>50</v>
      </c>
      <c r="O517" s="180">
        <f t="shared" si="128"/>
        <v>0</v>
      </c>
      <c r="P517" s="134">
        <f t="shared" si="128"/>
        <v>0</v>
      </c>
      <c r="Q517" s="269">
        <f t="shared" si="128"/>
        <v>0</v>
      </c>
      <c r="R517" s="270">
        <f t="shared" si="128"/>
        <v>0</v>
      </c>
      <c r="S517" s="73"/>
      <c r="T517" s="73"/>
      <c r="U517" s="73"/>
      <c r="V517" s="73"/>
      <c r="W517" s="73"/>
      <c r="X517" s="73"/>
    </row>
    <row r="518" spans="1:24" s="66" customFormat="1" ht="26" x14ac:dyDescent="0.3">
      <c r="A518" s="271"/>
      <c r="B518" s="106" t="s">
        <v>336</v>
      </c>
      <c r="C518" s="111"/>
      <c r="D518" s="111" t="s">
        <v>149</v>
      </c>
      <c r="E518" s="111" t="s">
        <v>169</v>
      </c>
      <c r="F518" s="110" t="s">
        <v>534</v>
      </c>
      <c r="G518" s="157"/>
      <c r="H518" s="157"/>
      <c r="I518" s="111"/>
      <c r="J518" s="132">
        <f>J521</f>
        <v>182.53199999999998</v>
      </c>
      <c r="K518" s="133"/>
      <c r="L518" s="133">
        <f t="shared" ref="L518:R518" si="129">L521</f>
        <v>85</v>
      </c>
      <c r="M518" s="268">
        <f t="shared" si="129"/>
        <v>85</v>
      </c>
      <c r="N518" s="248">
        <f>N521</f>
        <v>50</v>
      </c>
      <c r="O518" s="180">
        <f t="shared" si="129"/>
        <v>0</v>
      </c>
      <c r="P518" s="134">
        <f t="shared" si="129"/>
        <v>0</v>
      </c>
      <c r="Q518" s="269">
        <f t="shared" si="129"/>
        <v>0</v>
      </c>
      <c r="R518" s="270">
        <f t="shared" si="129"/>
        <v>0</v>
      </c>
      <c r="S518" s="73"/>
      <c r="T518" s="73"/>
      <c r="U518" s="73"/>
      <c r="V518" s="73"/>
      <c r="W518" s="73"/>
      <c r="X518" s="73"/>
    </row>
    <row r="519" spans="1:24" s="66" customFormat="1" ht="26.5" hidden="1" customHeight="1" x14ac:dyDescent="0.3">
      <c r="A519" s="271"/>
      <c r="B519" s="114"/>
      <c r="C519" s="138"/>
      <c r="D519" s="138"/>
      <c r="E519" s="138"/>
      <c r="F519" s="138"/>
      <c r="G519" s="187"/>
      <c r="H519" s="188"/>
      <c r="I519" s="188"/>
      <c r="J519" s="189"/>
      <c r="K519" s="474"/>
      <c r="L519" s="475"/>
      <c r="M519" s="475"/>
      <c r="N519" s="476"/>
      <c r="O519" s="477"/>
      <c r="P519" s="477"/>
      <c r="Q519" s="478"/>
      <c r="R519" s="479"/>
      <c r="S519" s="73"/>
      <c r="T519" s="73"/>
      <c r="U519" s="73"/>
      <c r="V519" s="73"/>
      <c r="W519" s="73"/>
      <c r="X519" s="73"/>
    </row>
    <row r="520" spans="1:24" ht="39.65" hidden="1" customHeight="1" x14ac:dyDescent="0.25">
      <c r="A520" s="229"/>
      <c r="B520" s="114"/>
      <c r="C520" s="138"/>
      <c r="D520" s="138"/>
      <c r="E520" s="138"/>
      <c r="F520" s="138"/>
      <c r="G520" s="187"/>
      <c r="H520" s="188"/>
      <c r="I520" s="188"/>
      <c r="J520" s="189"/>
      <c r="K520" s="186"/>
      <c r="L520" s="10"/>
      <c r="M520" s="10"/>
      <c r="N520" s="480"/>
      <c r="O520" s="468"/>
      <c r="P520" s="468"/>
      <c r="Q520" s="481"/>
      <c r="R520" s="482"/>
    </row>
    <row r="521" spans="1:24" ht="13" x14ac:dyDescent="0.3">
      <c r="A521" s="229"/>
      <c r="B521" s="285" t="s">
        <v>88</v>
      </c>
      <c r="C521" s="138"/>
      <c r="D521" s="111" t="s">
        <v>149</v>
      </c>
      <c r="E521" s="111" t="s">
        <v>169</v>
      </c>
      <c r="F521" s="111" t="s">
        <v>534</v>
      </c>
      <c r="G521" s="89" t="s">
        <v>89</v>
      </c>
      <c r="H521" s="89"/>
      <c r="I521" s="111"/>
      <c r="J521" s="483">
        <f>J522</f>
        <v>182.53199999999998</v>
      </c>
      <c r="K521" s="191"/>
      <c r="L521" s="192">
        <v>85</v>
      </c>
      <c r="M521" s="484">
        <v>85</v>
      </c>
      <c r="N521" s="279">
        <f>N522</f>
        <v>50</v>
      </c>
      <c r="O521" s="194">
        <f>O522</f>
        <v>0</v>
      </c>
      <c r="P521" s="194">
        <f>P522</f>
        <v>0</v>
      </c>
      <c r="Q521" s="485">
        <f>Q522</f>
        <v>0</v>
      </c>
      <c r="R521" s="486">
        <f>R522</f>
        <v>0</v>
      </c>
    </row>
    <row r="522" spans="1:24" ht="28.5" customHeight="1" x14ac:dyDescent="0.3">
      <c r="A522" s="229"/>
      <c r="B522" s="302" t="s">
        <v>535</v>
      </c>
      <c r="C522" s="138"/>
      <c r="D522" s="111"/>
      <c r="E522" s="111"/>
      <c r="F522" s="111" t="s">
        <v>536</v>
      </c>
      <c r="G522" s="89" t="s">
        <v>89</v>
      </c>
      <c r="H522" s="89" t="s">
        <v>340</v>
      </c>
      <c r="I522" s="111" t="s">
        <v>338</v>
      </c>
      <c r="J522" s="483">
        <f>85+97.532</f>
        <v>182.53199999999998</v>
      </c>
      <c r="K522" s="191"/>
      <c r="L522" s="192">
        <v>85</v>
      </c>
      <c r="M522" s="484">
        <v>85</v>
      </c>
      <c r="N522" s="279">
        <v>50</v>
      </c>
      <c r="O522" s="194"/>
      <c r="P522" s="194"/>
      <c r="Q522" s="485"/>
      <c r="R522" s="486"/>
    </row>
    <row r="523" spans="1:24" ht="52" x14ac:dyDescent="0.3">
      <c r="A523" s="229"/>
      <c r="B523" s="112" t="s">
        <v>537</v>
      </c>
      <c r="C523" s="487"/>
      <c r="D523" s="111"/>
      <c r="E523" s="111"/>
      <c r="F523" s="119" t="s">
        <v>538</v>
      </c>
      <c r="G523" s="89"/>
      <c r="H523" s="89"/>
      <c r="I523" s="111"/>
      <c r="J523" s="483"/>
      <c r="K523" s="191"/>
      <c r="L523" s="192"/>
      <c r="M523" s="484"/>
      <c r="N523" s="257">
        <f>N527+N525</f>
        <v>4720.6869999999999</v>
      </c>
      <c r="O523" s="194"/>
      <c r="P523" s="194"/>
      <c r="Q523" s="485"/>
      <c r="R523" s="486"/>
    </row>
    <row r="524" spans="1:24" ht="13" hidden="1" x14ac:dyDescent="0.3">
      <c r="A524" s="229"/>
      <c r="B524" s="118" t="s">
        <v>42</v>
      </c>
      <c r="C524" s="487"/>
      <c r="D524" s="111"/>
      <c r="E524" s="111"/>
      <c r="F524" s="208" t="s">
        <v>538</v>
      </c>
      <c r="G524" s="89" t="s">
        <v>65</v>
      </c>
      <c r="H524" s="89"/>
      <c r="I524" s="111"/>
      <c r="J524" s="483"/>
      <c r="K524" s="191"/>
      <c r="L524" s="192"/>
      <c r="M524" s="484"/>
      <c r="N524" s="488">
        <f>N525</f>
        <v>0</v>
      </c>
      <c r="O524" s="194"/>
      <c r="P524" s="194"/>
      <c r="Q524" s="485"/>
      <c r="R524" s="486"/>
    </row>
    <row r="525" spans="1:24" s="501" customFormat="1" ht="13" hidden="1" x14ac:dyDescent="0.3">
      <c r="A525" s="489"/>
      <c r="B525" s="112" t="s">
        <v>192</v>
      </c>
      <c r="C525" s="490"/>
      <c r="D525" s="491"/>
      <c r="E525" s="491"/>
      <c r="F525" s="208" t="s">
        <v>538</v>
      </c>
      <c r="G525" s="492" t="s">
        <v>65</v>
      </c>
      <c r="H525" s="492" t="s">
        <v>285</v>
      </c>
      <c r="I525" s="491" t="s">
        <v>340</v>
      </c>
      <c r="J525" s="493"/>
      <c r="K525" s="494"/>
      <c r="L525" s="495"/>
      <c r="M525" s="496"/>
      <c r="N525" s="488"/>
      <c r="O525" s="497"/>
      <c r="P525" s="497"/>
      <c r="Q525" s="498"/>
      <c r="R525" s="499"/>
      <c r="S525" s="500"/>
      <c r="T525" s="500"/>
      <c r="U525" s="500"/>
      <c r="V525" s="500"/>
      <c r="W525" s="500"/>
      <c r="X525" s="500"/>
    </row>
    <row r="526" spans="1:24" ht="39" x14ac:dyDescent="0.3">
      <c r="A526" s="229"/>
      <c r="B526" s="502" t="s">
        <v>539</v>
      </c>
      <c r="C526" s="487"/>
      <c r="D526" s="111"/>
      <c r="E526" s="111"/>
      <c r="F526" s="208" t="s">
        <v>538</v>
      </c>
      <c r="G526" s="89" t="s">
        <v>391</v>
      </c>
      <c r="H526" s="89"/>
      <c r="I526" s="111"/>
      <c r="J526" s="483"/>
      <c r="K526" s="191"/>
      <c r="L526" s="192"/>
      <c r="M526" s="484"/>
      <c r="N526" s="279">
        <f>N527</f>
        <v>4720.6869999999999</v>
      </c>
      <c r="O526" s="194"/>
      <c r="P526" s="194"/>
      <c r="Q526" s="485"/>
      <c r="R526" s="486"/>
    </row>
    <row r="527" spans="1:24" ht="13" x14ac:dyDescent="0.3">
      <c r="A527" s="229"/>
      <c r="B527" s="112" t="s">
        <v>192</v>
      </c>
      <c r="C527" s="487"/>
      <c r="D527" s="111"/>
      <c r="E527" s="111"/>
      <c r="F527" s="208" t="s">
        <v>538</v>
      </c>
      <c r="G527" s="89" t="s">
        <v>391</v>
      </c>
      <c r="H527" s="89" t="s">
        <v>285</v>
      </c>
      <c r="I527" s="111" t="s">
        <v>340</v>
      </c>
      <c r="J527" s="483"/>
      <c r="K527" s="191"/>
      <c r="L527" s="192"/>
      <c r="M527" s="484"/>
      <c r="N527" s="279">
        <f>2984.802+2106.846-127.207-50.386-47.94-145.428</f>
        <v>4720.6869999999999</v>
      </c>
      <c r="O527" s="194"/>
      <c r="P527" s="194"/>
      <c r="Q527" s="485"/>
      <c r="R527" s="486"/>
    </row>
    <row r="528" spans="1:24" ht="13" x14ac:dyDescent="0.3">
      <c r="A528" s="229"/>
      <c r="B528" s="503" t="s">
        <v>540</v>
      </c>
      <c r="C528" s="487"/>
      <c r="D528" s="111"/>
      <c r="E528" s="111"/>
      <c r="F528" s="119" t="s">
        <v>541</v>
      </c>
      <c r="G528" s="89"/>
      <c r="H528" s="89"/>
      <c r="I528" s="111"/>
      <c r="J528" s="483"/>
      <c r="K528" s="191"/>
      <c r="L528" s="192"/>
      <c r="M528" s="484"/>
      <c r="N528" s="257">
        <f>N529</f>
        <v>50.386000000000003</v>
      </c>
      <c r="O528" s="194"/>
      <c r="P528" s="194"/>
      <c r="Q528" s="485"/>
      <c r="R528" s="486"/>
    </row>
    <row r="529" spans="1:256" ht="13" x14ac:dyDescent="0.3">
      <c r="A529" s="229"/>
      <c r="B529" s="504" t="s">
        <v>42</v>
      </c>
      <c r="C529" s="487"/>
      <c r="D529" s="111"/>
      <c r="E529" s="111"/>
      <c r="F529" s="208" t="s">
        <v>541</v>
      </c>
      <c r="G529" s="89" t="s">
        <v>65</v>
      </c>
      <c r="H529" s="89"/>
      <c r="I529" s="111"/>
      <c r="J529" s="483"/>
      <c r="K529" s="191"/>
      <c r="L529" s="192"/>
      <c r="M529" s="484"/>
      <c r="N529" s="279">
        <f>N530</f>
        <v>50.386000000000003</v>
      </c>
      <c r="O529" s="194"/>
      <c r="P529" s="194"/>
      <c r="Q529" s="485"/>
      <c r="R529" s="486"/>
    </row>
    <row r="530" spans="1:256" ht="13" x14ac:dyDescent="0.3">
      <c r="A530" s="229"/>
      <c r="B530" s="112" t="s">
        <v>192</v>
      </c>
      <c r="C530" s="487"/>
      <c r="D530" s="111"/>
      <c r="E530" s="111"/>
      <c r="F530" s="208" t="s">
        <v>541</v>
      </c>
      <c r="G530" s="89" t="s">
        <v>65</v>
      </c>
      <c r="H530" s="89" t="s">
        <v>285</v>
      </c>
      <c r="I530" s="111" t="s">
        <v>340</v>
      </c>
      <c r="J530" s="483"/>
      <c r="K530" s="191"/>
      <c r="L530" s="192"/>
      <c r="M530" s="484"/>
      <c r="N530" s="279">
        <v>50.386000000000003</v>
      </c>
      <c r="O530" s="194"/>
      <c r="P530" s="194"/>
      <c r="Q530" s="485"/>
      <c r="R530" s="486"/>
    </row>
    <row r="531" spans="1:256" ht="24" customHeight="1" x14ac:dyDescent="0.3">
      <c r="A531" s="229"/>
      <c r="B531" s="448" t="s">
        <v>542</v>
      </c>
      <c r="C531" s="487"/>
      <c r="D531" s="111"/>
      <c r="E531" s="111"/>
      <c r="F531" s="119" t="s">
        <v>543</v>
      </c>
      <c r="G531" s="89"/>
      <c r="H531" s="89"/>
      <c r="I531" s="111"/>
      <c r="J531" s="483">
        <f>J534</f>
        <v>153.32</v>
      </c>
      <c r="K531" s="191"/>
      <c r="L531" s="192"/>
      <c r="M531" s="484"/>
      <c r="N531" s="257">
        <f>N534+N532</f>
        <v>765.5150000000001</v>
      </c>
      <c r="O531" s="505">
        <f>O534+O532</f>
        <v>585.81999999999994</v>
      </c>
      <c r="P531" s="505">
        <f>P534+P532</f>
        <v>610.88699999999994</v>
      </c>
      <c r="Q531" s="506">
        <f>Q534+Q532</f>
        <v>1200</v>
      </c>
      <c r="R531" s="507">
        <f>R534+R532</f>
        <v>1200</v>
      </c>
    </row>
    <row r="532" spans="1:256" ht="13" x14ac:dyDescent="0.3">
      <c r="A532" s="229"/>
      <c r="B532" s="504" t="s">
        <v>42</v>
      </c>
      <c r="C532" s="487"/>
      <c r="D532" s="111"/>
      <c r="E532" s="111"/>
      <c r="F532" s="208" t="s">
        <v>543</v>
      </c>
      <c r="G532" s="89" t="s">
        <v>65</v>
      </c>
      <c r="H532" s="89"/>
      <c r="I532" s="111"/>
      <c r="J532" s="483"/>
      <c r="K532" s="191"/>
      <c r="L532" s="192"/>
      <c r="M532" s="484"/>
      <c r="N532" s="279">
        <f>N533</f>
        <v>765.5150000000001</v>
      </c>
      <c r="O532" s="194">
        <f>O533</f>
        <v>31.3</v>
      </c>
      <c r="P532" s="194">
        <f>P533</f>
        <v>34.43</v>
      </c>
      <c r="Q532" s="485">
        <f>Q533</f>
        <v>1200</v>
      </c>
      <c r="R532" s="486">
        <f>R533</f>
        <v>1200</v>
      </c>
    </row>
    <row r="533" spans="1:256" ht="13" x14ac:dyDescent="0.3">
      <c r="A533" s="229"/>
      <c r="B533" s="504" t="s">
        <v>544</v>
      </c>
      <c r="C533" s="487"/>
      <c r="D533" s="111"/>
      <c r="E533" s="111"/>
      <c r="F533" s="208" t="s">
        <v>543</v>
      </c>
      <c r="G533" s="89" t="s">
        <v>65</v>
      </c>
      <c r="H533" s="89" t="s">
        <v>299</v>
      </c>
      <c r="I533" s="111" t="s">
        <v>380</v>
      </c>
      <c r="J533" s="483"/>
      <c r="K533" s="191"/>
      <c r="L533" s="192"/>
      <c r="M533" s="484"/>
      <c r="N533" s="279">
        <f>1200-10.879-424.606+90-89</f>
        <v>765.5150000000001</v>
      </c>
      <c r="O533" s="194">
        <v>31.3</v>
      </c>
      <c r="P533" s="194">
        <v>34.43</v>
      </c>
      <c r="Q533" s="485">
        <v>1200</v>
      </c>
      <c r="R533" s="486">
        <v>1200</v>
      </c>
    </row>
    <row r="534" spans="1:256" ht="13" hidden="1" x14ac:dyDescent="0.25">
      <c r="A534" s="229"/>
      <c r="B534" s="504" t="s">
        <v>468</v>
      </c>
      <c r="C534" s="209"/>
      <c r="D534" s="111" t="s">
        <v>241</v>
      </c>
      <c r="E534" s="111" t="s">
        <v>248</v>
      </c>
      <c r="F534" s="208" t="s">
        <v>543</v>
      </c>
      <c r="G534" s="89" t="s">
        <v>65</v>
      </c>
      <c r="H534" s="89"/>
      <c r="I534" s="111"/>
      <c r="J534" s="473">
        <f t="shared" ref="J534:R534" si="130">J535</f>
        <v>153.32</v>
      </c>
      <c r="K534" s="99">
        <f t="shared" si="130"/>
        <v>172</v>
      </c>
      <c r="L534" s="99">
        <f t="shared" si="130"/>
        <v>172</v>
      </c>
      <c r="M534" s="263">
        <f t="shared" si="130"/>
        <v>172</v>
      </c>
      <c r="N534" s="253">
        <f t="shared" si="130"/>
        <v>0</v>
      </c>
      <c r="O534" s="142">
        <f t="shared" si="130"/>
        <v>554.52</v>
      </c>
      <c r="P534" s="109">
        <f t="shared" si="130"/>
        <v>576.45699999999999</v>
      </c>
      <c r="Q534" s="254">
        <f t="shared" si="130"/>
        <v>0</v>
      </c>
      <c r="R534" s="255">
        <f t="shared" si="130"/>
        <v>0</v>
      </c>
    </row>
    <row r="535" spans="1:256" ht="39" hidden="1" x14ac:dyDescent="0.25">
      <c r="A535" s="229"/>
      <c r="B535" s="112" t="s">
        <v>542</v>
      </c>
      <c r="C535" s="209"/>
      <c r="D535" s="111" t="s">
        <v>241</v>
      </c>
      <c r="E535" s="111" t="s">
        <v>248</v>
      </c>
      <c r="F535" s="208" t="s">
        <v>545</v>
      </c>
      <c r="G535" s="89" t="s">
        <v>246</v>
      </c>
      <c r="H535" s="89" t="s">
        <v>416</v>
      </c>
      <c r="I535" s="111" t="s">
        <v>340</v>
      </c>
      <c r="J535" s="473">
        <v>153.32</v>
      </c>
      <c r="K535" s="99">
        <v>172</v>
      </c>
      <c r="L535" s="99">
        <v>172</v>
      </c>
      <c r="M535" s="263">
        <v>172</v>
      </c>
      <c r="N535" s="253"/>
      <c r="O535" s="142">
        <v>554.52</v>
      </c>
      <c r="P535" s="109">
        <v>576.45699999999999</v>
      </c>
      <c r="Q535" s="254"/>
      <c r="R535" s="255"/>
    </row>
    <row r="536" spans="1:256" ht="25" hidden="1" x14ac:dyDescent="0.25">
      <c r="A536" s="229"/>
      <c r="B536" s="508" t="s">
        <v>546</v>
      </c>
      <c r="C536" s="209"/>
      <c r="D536" s="111"/>
      <c r="E536" s="111"/>
      <c r="F536" s="119" t="s">
        <v>547</v>
      </c>
      <c r="G536" s="89"/>
      <c r="H536" s="89"/>
      <c r="I536" s="111"/>
      <c r="J536" s="473">
        <f>J537</f>
        <v>0</v>
      </c>
      <c r="K536" s="509"/>
      <c r="L536" s="510"/>
      <c r="M536" s="509"/>
      <c r="N536" s="248">
        <f t="shared" ref="N536:R537" si="131">N537</f>
        <v>0</v>
      </c>
      <c r="O536" s="265">
        <f t="shared" si="131"/>
        <v>0</v>
      </c>
      <c r="P536" s="105">
        <f t="shared" si="131"/>
        <v>0</v>
      </c>
      <c r="Q536" s="266">
        <f t="shared" si="131"/>
        <v>0</v>
      </c>
      <c r="R536" s="251">
        <f t="shared" si="131"/>
        <v>0</v>
      </c>
    </row>
    <row r="537" spans="1:256" ht="25.5" hidden="1" thickBot="1" x14ac:dyDescent="0.3">
      <c r="A537" s="229"/>
      <c r="B537" s="511" t="s">
        <v>397</v>
      </c>
      <c r="C537" s="209"/>
      <c r="D537" s="111"/>
      <c r="E537" s="111"/>
      <c r="F537" s="208" t="s">
        <v>547</v>
      </c>
      <c r="G537" s="89" t="s">
        <v>379</v>
      </c>
      <c r="H537" s="89"/>
      <c r="I537" s="111"/>
      <c r="J537" s="473">
        <f>J538</f>
        <v>0</v>
      </c>
      <c r="K537" s="509"/>
      <c r="L537" s="510"/>
      <c r="M537" s="509"/>
      <c r="N537" s="253">
        <f t="shared" si="131"/>
        <v>0</v>
      </c>
      <c r="O537" s="142">
        <f t="shared" si="131"/>
        <v>0</v>
      </c>
      <c r="P537" s="109">
        <f t="shared" si="131"/>
        <v>0</v>
      </c>
      <c r="Q537" s="254">
        <f t="shared" si="131"/>
        <v>0</v>
      </c>
      <c r="R537" s="255">
        <f t="shared" si="131"/>
        <v>0</v>
      </c>
    </row>
    <row r="538" spans="1:256" ht="13" hidden="1" x14ac:dyDescent="0.3">
      <c r="A538" s="229"/>
      <c r="B538" s="118" t="s">
        <v>168</v>
      </c>
      <c r="C538" s="209"/>
      <c r="D538" s="111"/>
      <c r="E538" s="111"/>
      <c r="F538" s="208" t="s">
        <v>547</v>
      </c>
      <c r="G538" s="89" t="s">
        <v>379</v>
      </c>
      <c r="H538" s="89" t="s">
        <v>285</v>
      </c>
      <c r="I538" s="111" t="s">
        <v>380</v>
      </c>
      <c r="J538" s="473"/>
      <c r="K538" s="509"/>
      <c r="L538" s="510"/>
      <c r="M538" s="509"/>
      <c r="N538" s="253"/>
      <c r="O538" s="142"/>
      <c r="P538" s="109"/>
      <c r="Q538" s="254"/>
      <c r="R538" s="255"/>
    </row>
    <row r="539" spans="1:256" ht="26" hidden="1" x14ac:dyDescent="0.25">
      <c r="A539" s="229"/>
      <c r="B539" s="125" t="s">
        <v>548</v>
      </c>
      <c r="C539" s="209"/>
      <c r="D539" s="111"/>
      <c r="E539" s="111"/>
      <c r="F539" s="110" t="s">
        <v>549</v>
      </c>
      <c r="G539" s="89"/>
      <c r="H539" s="89"/>
      <c r="I539" s="111"/>
      <c r="J539" s="512">
        <f>J540</f>
        <v>17908.526000000002</v>
      </c>
      <c r="K539" s="509"/>
      <c r="L539" s="510"/>
      <c r="M539" s="509"/>
      <c r="N539" s="253">
        <f t="shared" ref="N539:R540" si="132">N540</f>
        <v>0</v>
      </c>
      <c r="O539" s="212">
        <f t="shared" si="132"/>
        <v>0</v>
      </c>
      <c r="P539" s="199">
        <f t="shared" si="132"/>
        <v>0</v>
      </c>
      <c r="Q539" s="254">
        <f t="shared" si="132"/>
        <v>0</v>
      </c>
      <c r="R539" s="255">
        <f t="shared" si="132"/>
        <v>0</v>
      </c>
    </row>
    <row r="540" spans="1:256" ht="26" hidden="1" x14ac:dyDescent="0.25">
      <c r="A540" s="229"/>
      <c r="B540" s="262" t="s">
        <v>283</v>
      </c>
      <c r="C540" s="209"/>
      <c r="D540" s="111"/>
      <c r="E540" s="111"/>
      <c r="F540" s="111" t="s">
        <v>549</v>
      </c>
      <c r="G540" s="89" t="s">
        <v>65</v>
      </c>
      <c r="H540" s="89"/>
      <c r="I540" s="111"/>
      <c r="J540" s="512">
        <f>J541</f>
        <v>17908.526000000002</v>
      </c>
      <c r="K540" s="509"/>
      <c r="L540" s="510"/>
      <c r="M540" s="509"/>
      <c r="N540" s="253">
        <f t="shared" si="132"/>
        <v>0</v>
      </c>
      <c r="O540" s="212">
        <f t="shared" si="132"/>
        <v>0</v>
      </c>
      <c r="P540" s="199">
        <f t="shared" si="132"/>
        <v>0</v>
      </c>
      <c r="Q540" s="254">
        <f t="shared" si="132"/>
        <v>0</v>
      </c>
      <c r="R540" s="255">
        <f t="shared" si="132"/>
        <v>0</v>
      </c>
      <c r="S540" s="513"/>
      <c r="T540" s="513"/>
      <c r="U540" s="454"/>
      <c r="V540" s="514"/>
      <c r="W540" s="515"/>
      <c r="X540" s="515"/>
      <c r="AC540" s="170">
        <f>AC541</f>
        <v>672.10500000000002</v>
      </c>
    </row>
    <row r="541" spans="1:256" ht="13" hidden="1" x14ac:dyDescent="0.25">
      <c r="A541" s="229"/>
      <c r="B541" s="106" t="s">
        <v>192</v>
      </c>
      <c r="C541" s="209"/>
      <c r="D541" s="111"/>
      <c r="E541" s="111"/>
      <c r="F541" s="111" t="s">
        <v>549</v>
      </c>
      <c r="G541" s="89" t="s">
        <v>65</v>
      </c>
      <c r="H541" s="89"/>
      <c r="I541" s="111" t="s">
        <v>193</v>
      </c>
      <c r="J541" s="512">
        <v>17908.526000000002</v>
      </c>
      <c r="K541" s="509"/>
      <c r="L541" s="510"/>
      <c r="M541" s="509"/>
      <c r="N541" s="253"/>
      <c r="O541" s="212"/>
      <c r="P541" s="199"/>
      <c r="Q541" s="254"/>
      <c r="R541" s="255"/>
      <c r="S541" s="513"/>
      <c r="T541" s="513"/>
      <c r="U541" s="454"/>
      <c r="V541" s="514"/>
      <c r="W541" s="515"/>
      <c r="X541" s="515"/>
      <c r="AC541" s="170">
        <v>672.10500000000002</v>
      </c>
    </row>
    <row r="542" spans="1:256" ht="39" hidden="1" x14ac:dyDescent="0.25">
      <c r="A542" s="229"/>
      <c r="B542" s="262" t="s">
        <v>550</v>
      </c>
      <c r="C542" s="209"/>
      <c r="D542" s="111"/>
      <c r="E542" s="111"/>
      <c r="F542" s="110" t="s">
        <v>538</v>
      </c>
      <c r="G542" s="89"/>
      <c r="H542" s="89"/>
      <c r="I542" s="111"/>
      <c r="J542" s="512">
        <f>J543</f>
        <v>7028.6390000000001</v>
      </c>
      <c r="K542" s="509"/>
      <c r="L542" s="510"/>
      <c r="M542" s="509"/>
      <c r="N542" s="253">
        <f t="shared" ref="N542:R543" si="133">N543</f>
        <v>0</v>
      </c>
      <c r="O542" s="212">
        <f t="shared" si="133"/>
        <v>0</v>
      </c>
      <c r="P542" s="199">
        <f t="shared" si="133"/>
        <v>0</v>
      </c>
      <c r="Q542" s="254">
        <f t="shared" si="133"/>
        <v>0</v>
      </c>
      <c r="R542" s="255">
        <f t="shared" si="133"/>
        <v>0</v>
      </c>
    </row>
    <row r="543" spans="1:256" s="10" customFormat="1" ht="26" hidden="1" x14ac:dyDescent="0.25">
      <c r="A543" s="229"/>
      <c r="B543" s="262" t="s">
        <v>283</v>
      </c>
      <c r="C543" s="209"/>
      <c r="D543" s="111"/>
      <c r="E543" s="111"/>
      <c r="F543" s="111" t="s">
        <v>538</v>
      </c>
      <c r="G543" s="89" t="s">
        <v>65</v>
      </c>
      <c r="H543" s="89"/>
      <c r="I543" s="111"/>
      <c r="J543" s="512">
        <f>J544</f>
        <v>7028.6390000000001</v>
      </c>
      <c r="K543" s="509"/>
      <c r="L543" s="510"/>
      <c r="M543" s="509"/>
      <c r="N543" s="253">
        <f t="shared" si="133"/>
        <v>0</v>
      </c>
      <c r="O543" s="212">
        <f t="shared" si="133"/>
        <v>0</v>
      </c>
      <c r="P543" s="199">
        <f t="shared" si="133"/>
        <v>0</v>
      </c>
      <c r="Q543" s="254">
        <f t="shared" si="133"/>
        <v>0</v>
      </c>
      <c r="R543" s="255">
        <f t="shared" si="133"/>
        <v>0</v>
      </c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s="10" customFormat="1" ht="13" hidden="1" x14ac:dyDescent="0.25">
      <c r="A544" s="229"/>
      <c r="B544" s="106" t="s">
        <v>192</v>
      </c>
      <c r="C544" s="209"/>
      <c r="D544" s="111"/>
      <c r="E544" s="111"/>
      <c r="F544" s="111" t="s">
        <v>538</v>
      </c>
      <c r="G544" s="89" t="s">
        <v>65</v>
      </c>
      <c r="H544" s="89"/>
      <c r="I544" s="111" t="s">
        <v>193</v>
      </c>
      <c r="J544" s="512">
        <f>838.062+6190.577</f>
        <v>7028.6390000000001</v>
      </c>
      <c r="K544" s="509"/>
      <c r="L544" s="510"/>
      <c r="M544" s="509"/>
      <c r="N544" s="253"/>
      <c r="O544" s="212"/>
      <c r="P544" s="199"/>
      <c r="Q544" s="254"/>
      <c r="R544" s="255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s="10" customFormat="1" ht="26" hidden="1" x14ac:dyDescent="0.25">
      <c r="A545" s="229"/>
      <c r="B545" s="112" t="s">
        <v>290</v>
      </c>
      <c r="C545" s="209"/>
      <c r="D545" s="111"/>
      <c r="E545" s="111"/>
      <c r="F545" s="110" t="s">
        <v>551</v>
      </c>
      <c r="G545" s="89"/>
      <c r="H545" s="89"/>
      <c r="I545" s="111"/>
      <c r="J545" s="516"/>
      <c r="K545" s="509"/>
      <c r="L545" s="510"/>
      <c r="M545" s="509"/>
      <c r="N545" s="517">
        <f>N546</f>
        <v>0</v>
      </c>
      <c r="O545" s="518"/>
      <c r="P545" s="518"/>
      <c r="Q545" s="519">
        <f>Q546</f>
        <v>0</v>
      </c>
      <c r="R545" s="520">
        <f>R546</f>
        <v>0</v>
      </c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s="10" customFormat="1" ht="13" hidden="1" x14ac:dyDescent="0.3">
      <c r="A546" s="229"/>
      <c r="B546" s="118" t="s">
        <v>42</v>
      </c>
      <c r="C546" s="209"/>
      <c r="D546" s="111"/>
      <c r="E546" s="111"/>
      <c r="F546" s="111" t="s">
        <v>551</v>
      </c>
      <c r="G546" s="111" t="s">
        <v>65</v>
      </c>
      <c r="H546" s="89"/>
      <c r="I546" s="111"/>
      <c r="J546" s="516"/>
      <c r="K546" s="509"/>
      <c r="L546" s="510"/>
      <c r="M546" s="509"/>
      <c r="N546" s="335">
        <f>N547</f>
        <v>0</v>
      </c>
      <c r="O546" s="518"/>
      <c r="P546" s="518"/>
      <c r="Q546" s="521">
        <f>Q547</f>
        <v>0</v>
      </c>
      <c r="R546" s="339">
        <f>R547</f>
        <v>0</v>
      </c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s="10" customFormat="1" ht="13" hidden="1" x14ac:dyDescent="0.25">
      <c r="A547" s="229"/>
      <c r="B547" s="106" t="s">
        <v>252</v>
      </c>
      <c r="C547" s="209"/>
      <c r="D547" s="111"/>
      <c r="E547" s="111"/>
      <c r="F547" s="111" t="s">
        <v>551</v>
      </c>
      <c r="G547" s="111" t="s">
        <v>65</v>
      </c>
      <c r="H547" s="89" t="s">
        <v>284</v>
      </c>
      <c r="I547" s="111" t="s">
        <v>285</v>
      </c>
      <c r="J547" s="516"/>
      <c r="K547" s="509"/>
      <c r="L547" s="510"/>
      <c r="M547" s="509"/>
      <c r="N547" s="335">
        <v>0</v>
      </c>
      <c r="O547" s="518"/>
      <c r="P547" s="518"/>
      <c r="Q547" s="521">
        <v>0</v>
      </c>
      <c r="R547" s="339">
        <v>0</v>
      </c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s="10" customFormat="1" ht="26" hidden="1" x14ac:dyDescent="0.25">
      <c r="A548" s="229"/>
      <c r="B548" s="356" t="s">
        <v>552</v>
      </c>
      <c r="C548" s="138"/>
      <c r="D548" s="111"/>
      <c r="E548" s="111"/>
      <c r="F548" s="110" t="s">
        <v>553</v>
      </c>
      <c r="G548" s="89"/>
      <c r="H548" s="89"/>
      <c r="I548" s="111"/>
      <c r="J548" s="522"/>
      <c r="K548" s="523"/>
      <c r="L548" s="524">
        <f t="shared" ref="L548:R548" si="134">L549</f>
        <v>0</v>
      </c>
      <c r="M548" s="525">
        <f t="shared" si="134"/>
        <v>0</v>
      </c>
      <c r="N548" s="526">
        <f t="shared" si="134"/>
        <v>0</v>
      </c>
      <c r="O548" s="527">
        <f t="shared" si="134"/>
        <v>0</v>
      </c>
      <c r="P548" s="527">
        <f t="shared" si="134"/>
        <v>0</v>
      </c>
      <c r="Q548" s="528">
        <f t="shared" si="134"/>
        <v>0</v>
      </c>
      <c r="R548" s="529">
        <f t="shared" si="134"/>
        <v>0</v>
      </c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s="10" customFormat="1" ht="26" hidden="1" x14ac:dyDescent="0.25">
      <c r="A549" s="229"/>
      <c r="B549" s="262" t="s">
        <v>283</v>
      </c>
      <c r="C549" s="111"/>
      <c r="D549" s="111" t="s">
        <v>149</v>
      </c>
      <c r="E549" s="111" t="s">
        <v>151</v>
      </c>
      <c r="F549" s="111" t="s">
        <v>553</v>
      </c>
      <c r="G549" s="111" t="s">
        <v>65</v>
      </c>
      <c r="H549" s="111"/>
      <c r="I549" s="111"/>
      <c r="J549" s="530"/>
      <c r="K549" s="164"/>
      <c r="L549" s="165"/>
      <c r="M549" s="531"/>
      <c r="N549" s="335">
        <f>N550</f>
        <v>0</v>
      </c>
      <c r="O549" s="168">
        <f>O550</f>
        <v>0</v>
      </c>
      <c r="P549" s="168">
        <f>P550</f>
        <v>0</v>
      </c>
      <c r="Q549" s="455">
        <f>Q550</f>
        <v>0</v>
      </c>
      <c r="R549" s="456">
        <f>R550</f>
        <v>0</v>
      </c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s="10" customFormat="1" ht="13" hidden="1" x14ac:dyDescent="0.3">
      <c r="A550" s="229"/>
      <c r="B550" s="118" t="s">
        <v>150</v>
      </c>
      <c r="C550" s="111"/>
      <c r="D550" s="111"/>
      <c r="E550" s="111"/>
      <c r="F550" s="111" t="s">
        <v>553</v>
      </c>
      <c r="G550" s="111" t="s">
        <v>65</v>
      </c>
      <c r="H550" s="111" t="s">
        <v>285</v>
      </c>
      <c r="I550" s="111" t="s">
        <v>320</v>
      </c>
      <c r="J550" s="530"/>
      <c r="K550" s="164"/>
      <c r="L550" s="165"/>
      <c r="M550" s="531"/>
      <c r="N550" s="335">
        <v>0</v>
      </c>
      <c r="O550" s="168"/>
      <c r="P550" s="168"/>
      <c r="Q550" s="455">
        <v>0</v>
      </c>
      <c r="R550" s="456">
        <v>0</v>
      </c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s="10" customFormat="1" ht="27" hidden="1" customHeight="1" x14ac:dyDescent="0.25">
      <c r="A551" s="229"/>
      <c r="B551" s="162" t="s">
        <v>523</v>
      </c>
      <c r="C551" s="111"/>
      <c r="D551" s="111" t="s">
        <v>149</v>
      </c>
      <c r="E551" s="111" t="s">
        <v>151</v>
      </c>
      <c r="F551" s="110" t="s">
        <v>524</v>
      </c>
      <c r="G551" s="157"/>
      <c r="H551" s="157"/>
      <c r="I551" s="111"/>
      <c r="J551" s="530"/>
      <c r="K551" s="158"/>
      <c r="L551" s="163">
        <f>L553</f>
        <v>10000</v>
      </c>
      <c r="M551" s="532">
        <f>M553</f>
        <v>10000</v>
      </c>
      <c r="N551" s="335"/>
      <c r="O551" s="168"/>
      <c r="P551" s="168"/>
      <c r="Q551" s="455"/>
      <c r="R551" s="456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s="10" customFormat="1" ht="25.15" hidden="1" customHeight="1" x14ac:dyDescent="0.25">
      <c r="A552" s="229"/>
      <c r="B552" s="457" t="s">
        <v>378</v>
      </c>
      <c r="C552" s="111"/>
      <c r="D552" s="111"/>
      <c r="E552" s="111"/>
      <c r="F552" s="111" t="s">
        <v>524</v>
      </c>
      <c r="G552" s="111" t="s">
        <v>379</v>
      </c>
      <c r="H552" s="111"/>
      <c r="I552" s="111"/>
      <c r="J552" s="473"/>
      <c r="K552" s="157"/>
      <c r="L552" s="172">
        <v>10000</v>
      </c>
      <c r="M552" s="533">
        <v>10000</v>
      </c>
      <c r="N552" s="253"/>
      <c r="O552" s="142"/>
      <c r="P552" s="109"/>
      <c r="Q552" s="254"/>
      <c r="R552" s="255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s="10" customFormat="1" ht="17.5" hidden="1" customHeight="1" x14ac:dyDescent="0.3">
      <c r="A553" s="229"/>
      <c r="B553" s="118" t="s">
        <v>150</v>
      </c>
      <c r="C553" s="111"/>
      <c r="D553" s="111" t="s">
        <v>149</v>
      </c>
      <c r="E553" s="111" t="s">
        <v>151</v>
      </c>
      <c r="F553" s="111" t="s">
        <v>524</v>
      </c>
      <c r="G553" s="111" t="s">
        <v>379</v>
      </c>
      <c r="H553" s="111"/>
      <c r="I553" s="111" t="s">
        <v>151</v>
      </c>
      <c r="J553" s="473"/>
      <c r="K553" s="157"/>
      <c r="L553" s="172">
        <v>10000</v>
      </c>
      <c r="M553" s="533">
        <v>10000</v>
      </c>
      <c r="N553" s="253"/>
      <c r="O553" s="142"/>
      <c r="P553" s="109"/>
      <c r="Q553" s="254"/>
      <c r="R553" s="255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s="10" customFormat="1" ht="39.65" hidden="1" customHeight="1" x14ac:dyDescent="0.25">
      <c r="A554" s="229"/>
      <c r="B554" s="100" t="s">
        <v>73</v>
      </c>
      <c r="C554" s="111"/>
      <c r="D554" s="110" t="s">
        <v>149</v>
      </c>
      <c r="E554" s="110" t="s">
        <v>169</v>
      </c>
      <c r="F554" s="110" t="s">
        <v>74</v>
      </c>
      <c r="G554" s="157"/>
      <c r="H554" s="157"/>
      <c r="I554" s="110"/>
      <c r="J554" s="132">
        <f>J555</f>
        <v>0</v>
      </c>
      <c r="K554" s="133"/>
      <c r="L554" s="133">
        <f t="shared" ref="L554:R554" si="135">L555</f>
        <v>85</v>
      </c>
      <c r="M554" s="268">
        <f t="shared" si="135"/>
        <v>85</v>
      </c>
      <c r="N554" s="248">
        <f t="shared" si="135"/>
        <v>0</v>
      </c>
      <c r="O554" s="180">
        <f t="shared" si="135"/>
        <v>0</v>
      </c>
      <c r="P554" s="134">
        <f t="shared" si="135"/>
        <v>0</v>
      </c>
      <c r="Q554" s="269">
        <f t="shared" si="135"/>
        <v>0</v>
      </c>
      <c r="R554" s="270">
        <f t="shared" si="135"/>
        <v>0</v>
      </c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s="10" customFormat="1" ht="43.5" hidden="1" customHeight="1" x14ac:dyDescent="0.25">
      <c r="A555" s="229"/>
      <c r="B555" s="106" t="s">
        <v>184</v>
      </c>
      <c r="C555" s="111"/>
      <c r="D555" s="111" t="s">
        <v>149</v>
      </c>
      <c r="E555" s="111" t="s">
        <v>169</v>
      </c>
      <c r="F555" s="111" t="s">
        <v>185</v>
      </c>
      <c r="G555" s="157"/>
      <c r="H555" s="157"/>
      <c r="I555" s="111"/>
      <c r="J555" s="157">
        <f>J558</f>
        <v>0</v>
      </c>
      <c r="K555" s="158"/>
      <c r="L555" s="158">
        <f t="shared" ref="L555:R555" si="136">L558</f>
        <v>85</v>
      </c>
      <c r="M555" s="159">
        <f t="shared" si="136"/>
        <v>85</v>
      </c>
      <c r="N555" s="253">
        <f t="shared" si="136"/>
        <v>0</v>
      </c>
      <c r="O555" s="345">
        <f t="shared" si="136"/>
        <v>0</v>
      </c>
      <c r="P555" s="160">
        <f t="shared" si="136"/>
        <v>0</v>
      </c>
      <c r="Q555" s="346">
        <f t="shared" si="136"/>
        <v>0</v>
      </c>
      <c r="R555" s="347">
        <f t="shared" si="136"/>
        <v>0</v>
      </c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s="10" customFormat="1" ht="60.75" hidden="1" customHeight="1" x14ac:dyDescent="0.25">
      <c r="A556" s="229"/>
      <c r="B556" s="114" t="s">
        <v>186</v>
      </c>
      <c r="C556" s="138"/>
      <c r="D556" s="138" t="s">
        <v>149</v>
      </c>
      <c r="E556" s="138" t="s">
        <v>169</v>
      </c>
      <c r="F556" s="138" t="s">
        <v>187</v>
      </c>
      <c r="G556" s="187" t="s">
        <v>188</v>
      </c>
      <c r="H556" s="188"/>
      <c r="I556" s="188"/>
      <c r="J556" s="189"/>
      <c r="K556" s="474"/>
      <c r="L556" s="475"/>
      <c r="M556" s="475"/>
      <c r="N556" s="480"/>
      <c r="O556" s="468"/>
      <c r="P556" s="468"/>
      <c r="Q556" s="481"/>
      <c r="R556" s="482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s="10" customFormat="1" ht="48" hidden="1" customHeight="1" x14ac:dyDescent="0.25">
      <c r="A557" s="229"/>
      <c r="B557" s="114" t="s">
        <v>189</v>
      </c>
      <c r="C557" s="138"/>
      <c r="D557" s="138" t="s">
        <v>149</v>
      </c>
      <c r="E557" s="138" t="s">
        <v>169</v>
      </c>
      <c r="F557" s="138" t="s">
        <v>190</v>
      </c>
      <c r="G557" s="187" t="s">
        <v>191</v>
      </c>
      <c r="H557" s="188"/>
      <c r="I557" s="188"/>
      <c r="J557" s="189"/>
      <c r="K557" s="186"/>
      <c r="N557" s="480"/>
      <c r="O557" s="468"/>
      <c r="P557" s="468"/>
      <c r="Q557" s="481"/>
      <c r="R557" s="482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s="10" customFormat="1" ht="16.899999999999999" hidden="1" customHeight="1" x14ac:dyDescent="0.3">
      <c r="A558" s="229"/>
      <c r="B558" s="534" t="s">
        <v>42</v>
      </c>
      <c r="C558" s="138"/>
      <c r="D558" s="111" t="s">
        <v>149</v>
      </c>
      <c r="E558" s="111" t="s">
        <v>169</v>
      </c>
      <c r="F558" s="111" t="s">
        <v>185</v>
      </c>
      <c r="G558" s="89" t="s">
        <v>65</v>
      </c>
      <c r="H558" s="89"/>
      <c r="I558" s="111" t="s">
        <v>169</v>
      </c>
      <c r="J558" s="483"/>
      <c r="K558" s="191"/>
      <c r="L558" s="192">
        <v>85</v>
      </c>
      <c r="M558" s="484">
        <v>85</v>
      </c>
      <c r="N558" s="279"/>
      <c r="O558" s="194"/>
      <c r="P558" s="194"/>
      <c r="Q558" s="485"/>
      <c r="R558" s="486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ht="26.5" hidden="1" customHeight="1" x14ac:dyDescent="0.3">
      <c r="A559" s="229"/>
      <c r="B559" s="535" t="s">
        <v>554</v>
      </c>
      <c r="C559" s="138"/>
      <c r="D559" s="111"/>
      <c r="E559" s="111"/>
      <c r="F559" s="536" t="s">
        <v>555</v>
      </c>
      <c r="G559" s="89"/>
      <c r="H559" s="89"/>
      <c r="I559" s="111"/>
      <c r="J559" s="483"/>
      <c r="K559" s="191"/>
      <c r="L559" s="192"/>
      <c r="M559" s="484"/>
      <c r="N559" s="257">
        <f>N560</f>
        <v>0</v>
      </c>
      <c r="O559" s="194"/>
      <c r="P559" s="194"/>
      <c r="Q559" s="506">
        <f>Q560</f>
        <v>0</v>
      </c>
      <c r="R559" s="507">
        <f>R560</f>
        <v>0</v>
      </c>
    </row>
    <row r="560" spans="1:256" ht="16.899999999999999" hidden="1" customHeight="1" x14ac:dyDescent="0.3">
      <c r="A560" s="229"/>
      <c r="B560" s="162" t="s">
        <v>378</v>
      </c>
      <c r="C560" s="138"/>
      <c r="D560" s="111"/>
      <c r="E560" s="111"/>
      <c r="F560" s="130" t="s">
        <v>555</v>
      </c>
      <c r="G560" s="89" t="s">
        <v>379</v>
      </c>
      <c r="H560" s="89"/>
      <c r="I560" s="111"/>
      <c r="J560" s="483"/>
      <c r="K560" s="191"/>
      <c r="L560" s="192"/>
      <c r="M560" s="484"/>
      <c r="N560" s="279">
        <f>N561</f>
        <v>0</v>
      </c>
      <c r="O560" s="194"/>
      <c r="P560" s="194"/>
      <c r="Q560" s="485">
        <f>Q561</f>
        <v>0</v>
      </c>
      <c r="R560" s="486">
        <f>R561</f>
        <v>0</v>
      </c>
    </row>
    <row r="561" spans="1:24" ht="16.899999999999999" hidden="1" customHeight="1" x14ac:dyDescent="0.3">
      <c r="A561" s="229"/>
      <c r="B561" s="118" t="s">
        <v>168</v>
      </c>
      <c r="C561" s="138"/>
      <c r="D561" s="111"/>
      <c r="E561" s="111"/>
      <c r="F561" s="130" t="s">
        <v>555</v>
      </c>
      <c r="G561" s="89" t="s">
        <v>379</v>
      </c>
      <c r="H561" s="89" t="s">
        <v>285</v>
      </c>
      <c r="I561" s="111" t="s">
        <v>380</v>
      </c>
      <c r="J561" s="483"/>
      <c r="K561" s="191"/>
      <c r="L561" s="192"/>
      <c r="M561" s="484"/>
      <c r="N561" s="279">
        <f>4900-4900</f>
        <v>0</v>
      </c>
      <c r="O561" s="194"/>
      <c r="P561" s="194"/>
      <c r="Q561" s="485">
        <f>4900-4900</f>
        <v>0</v>
      </c>
      <c r="R561" s="486">
        <f>4900-4900</f>
        <v>0</v>
      </c>
    </row>
    <row r="562" spans="1:24" ht="52" hidden="1" x14ac:dyDescent="0.3">
      <c r="A562" s="229"/>
      <c r="B562" s="537" t="s">
        <v>556</v>
      </c>
      <c r="C562" s="538"/>
      <c r="D562" s="539"/>
      <c r="E562" s="539"/>
      <c r="F562" s="536" t="s">
        <v>557</v>
      </c>
      <c r="G562" s="540"/>
      <c r="H562" s="540"/>
      <c r="I562" s="540"/>
      <c r="J562" s="541">
        <f>J563+J565</f>
        <v>600.79999999999995</v>
      </c>
      <c r="K562" s="191"/>
      <c r="L562" s="192"/>
      <c r="M562" s="484"/>
      <c r="N562" s="542">
        <f>N563+N565</f>
        <v>0</v>
      </c>
      <c r="O562" s="543">
        <f>O563+O565</f>
        <v>0</v>
      </c>
      <c r="P562" s="544">
        <f>P563+P565</f>
        <v>0</v>
      </c>
      <c r="Q562" s="545">
        <f>Q563+Q565</f>
        <v>0</v>
      </c>
      <c r="R562" s="546">
        <f>R563+R565</f>
        <v>0</v>
      </c>
    </row>
    <row r="563" spans="1:24" ht="37.5" hidden="1" customHeight="1" x14ac:dyDescent="0.3">
      <c r="A563" s="229"/>
      <c r="B563" s="547" t="s">
        <v>390</v>
      </c>
      <c r="C563" s="538"/>
      <c r="D563" s="539"/>
      <c r="E563" s="539"/>
      <c r="F563" s="130" t="s">
        <v>557</v>
      </c>
      <c r="G563" s="111" t="s">
        <v>391</v>
      </c>
      <c r="H563" s="111"/>
      <c r="I563" s="540"/>
      <c r="J563" s="473">
        <f>J564</f>
        <v>493.39</v>
      </c>
      <c r="K563" s="191"/>
      <c r="L563" s="192"/>
      <c r="M563" s="484"/>
      <c r="N563" s="253">
        <f>N564</f>
        <v>0</v>
      </c>
      <c r="O563" s="142">
        <f>O564</f>
        <v>0</v>
      </c>
      <c r="P563" s="109">
        <f>P564</f>
        <v>0</v>
      </c>
      <c r="Q563" s="254">
        <f>Q564</f>
        <v>0</v>
      </c>
      <c r="R563" s="255">
        <f>R564</f>
        <v>0</v>
      </c>
    </row>
    <row r="564" spans="1:24" ht="16.899999999999999" hidden="1" customHeight="1" x14ac:dyDescent="0.3">
      <c r="A564" s="229"/>
      <c r="B564" s="118" t="s">
        <v>168</v>
      </c>
      <c r="C564" s="538"/>
      <c r="D564" s="539"/>
      <c r="E564" s="539"/>
      <c r="F564" s="130" t="s">
        <v>557</v>
      </c>
      <c r="G564" s="111" t="s">
        <v>391</v>
      </c>
      <c r="H564" s="111" t="s">
        <v>285</v>
      </c>
      <c r="I564" s="111" t="s">
        <v>380</v>
      </c>
      <c r="J564" s="473">
        <f>378.948+114.442</f>
        <v>493.39</v>
      </c>
      <c r="K564" s="191"/>
      <c r="L564" s="192"/>
      <c r="M564" s="484"/>
      <c r="N564" s="253">
        <v>0</v>
      </c>
      <c r="O564" s="142"/>
      <c r="P564" s="109"/>
      <c r="Q564" s="254">
        <v>0</v>
      </c>
      <c r="R564" s="255">
        <v>0</v>
      </c>
    </row>
    <row r="565" spans="1:24" ht="16.899999999999999" hidden="1" customHeight="1" x14ac:dyDescent="0.3">
      <c r="A565" s="229"/>
      <c r="B565" s="262"/>
      <c r="C565" s="538"/>
      <c r="D565" s="539"/>
      <c r="E565" s="539"/>
      <c r="F565" s="130" t="s">
        <v>558</v>
      </c>
      <c r="G565" s="111" t="s">
        <v>65</v>
      </c>
      <c r="H565" s="111"/>
      <c r="I565" s="111"/>
      <c r="J565" s="548">
        <f>J566</f>
        <v>107.41</v>
      </c>
      <c r="K565" s="191"/>
      <c r="L565" s="192"/>
      <c r="M565" s="484"/>
      <c r="N565" s="444">
        <f>N566</f>
        <v>0</v>
      </c>
      <c r="O565" s="549">
        <f>O566</f>
        <v>0</v>
      </c>
      <c r="P565" s="550">
        <f>P566</f>
        <v>0</v>
      </c>
      <c r="Q565" s="551">
        <f>Q566</f>
        <v>0</v>
      </c>
      <c r="R565" s="552">
        <f>R566</f>
        <v>0</v>
      </c>
    </row>
    <row r="566" spans="1:24" ht="16.899999999999999" hidden="1" customHeight="1" x14ac:dyDescent="0.3">
      <c r="A566" s="229"/>
      <c r="B566" s="553"/>
      <c r="C566" s="538"/>
      <c r="D566" s="539"/>
      <c r="E566" s="539"/>
      <c r="F566" s="130" t="s">
        <v>558</v>
      </c>
      <c r="G566" s="111" t="s">
        <v>65</v>
      </c>
      <c r="H566" s="111" t="s">
        <v>380</v>
      </c>
      <c r="I566" s="111" t="s">
        <v>340</v>
      </c>
      <c r="J566" s="473">
        <f>86.41+21</f>
        <v>107.41</v>
      </c>
      <c r="K566" s="191"/>
      <c r="L566" s="192"/>
      <c r="M566" s="484"/>
      <c r="N566" s="253"/>
      <c r="O566" s="142"/>
      <c r="P566" s="109"/>
      <c r="Q566" s="254"/>
      <c r="R566" s="255"/>
      <c r="X566" s="1"/>
    </row>
    <row r="567" spans="1:24" ht="27.75" hidden="1" customHeight="1" x14ac:dyDescent="0.3">
      <c r="A567" s="229"/>
      <c r="B567" s="554" t="s">
        <v>559</v>
      </c>
      <c r="C567" s="555"/>
      <c r="D567" s="556"/>
      <c r="E567" s="556"/>
      <c r="F567" s="557" t="s">
        <v>519</v>
      </c>
      <c r="G567" s="330"/>
      <c r="H567" s="330"/>
      <c r="I567" s="330"/>
      <c r="J567" s="558"/>
      <c r="K567" s="559"/>
      <c r="L567" s="560"/>
      <c r="M567" s="525"/>
      <c r="N567" s="517">
        <f>N568</f>
        <v>0</v>
      </c>
      <c r="O567" s="142"/>
      <c r="P567" s="142"/>
      <c r="Q567" s="561">
        <f>Q568</f>
        <v>0</v>
      </c>
      <c r="R567" s="520">
        <f>R568</f>
        <v>0</v>
      </c>
      <c r="X567" s="1"/>
    </row>
    <row r="568" spans="1:24" ht="36.75" hidden="1" customHeight="1" x14ac:dyDescent="0.3">
      <c r="A568" s="229"/>
      <c r="B568" s="547" t="s">
        <v>390</v>
      </c>
      <c r="C568" s="555"/>
      <c r="D568" s="556"/>
      <c r="E568" s="556"/>
      <c r="F568" s="557" t="s">
        <v>519</v>
      </c>
      <c r="G568" s="330" t="s">
        <v>391</v>
      </c>
      <c r="H568" s="330"/>
      <c r="I568" s="330"/>
      <c r="J568" s="558"/>
      <c r="K568" s="559"/>
      <c r="L568" s="560"/>
      <c r="M568" s="525"/>
      <c r="N568" s="335">
        <f>N569</f>
        <v>0</v>
      </c>
      <c r="O568" s="142"/>
      <c r="P568" s="142"/>
      <c r="Q568" s="338">
        <f>Q569</f>
        <v>0</v>
      </c>
      <c r="R568" s="339">
        <f>R569</f>
        <v>0</v>
      </c>
      <c r="X568" s="1"/>
    </row>
    <row r="569" spans="1:24" ht="16.899999999999999" hidden="1" customHeight="1" x14ac:dyDescent="0.3">
      <c r="A569" s="229"/>
      <c r="B569" s="118" t="s">
        <v>168</v>
      </c>
      <c r="C569" s="538"/>
      <c r="D569" s="539"/>
      <c r="E569" s="539"/>
      <c r="F569" s="130" t="s">
        <v>519</v>
      </c>
      <c r="G569" s="111" t="s">
        <v>391</v>
      </c>
      <c r="H569" s="111" t="s">
        <v>285</v>
      </c>
      <c r="I569" s="111" t="s">
        <v>380</v>
      </c>
      <c r="J569" s="473">
        <f>378.948+114.442</f>
        <v>493.39</v>
      </c>
      <c r="K569" s="191"/>
      <c r="L569" s="192"/>
      <c r="M569" s="484"/>
      <c r="N569" s="253">
        <v>0</v>
      </c>
      <c r="O569" s="142"/>
      <c r="P569" s="142"/>
      <c r="Q569" s="254">
        <v>0</v>
      </c>
      <c r="R569" s="255">
        <v>0</v>
      </c>
      <c r="X569" s="1"/>
    </row>
    <row r="570" spans="1:24" ht="27.65" customHeight="1" x14ac:dyDescent="0.3">
      <c r="A570" s="229"/>
      <c r="B570" s="504" t="s">
        <v>560</v>
      </c>
      <c r="C570" s="555"/>
      <c r="D570" s="556"/>
      <c r="E570" s="556"/>
      <c r="F570" s="119" t="s">
        <v>553</v>
      </c>
      <c r="G570" s="330"/>
      <c r="H570" s="330"/>
      <c r="I570" s="330"/>
      <c r="J570" s="558"/>
      <c r="K570" s="559"/>
      <c r="L570" s="560"/>
      <c r="M570" s="525"/>
      <c r="N570" s="517">
        <f>N571</f>
        <v>1544.5369999999998</v>
      </c>
      <c r="O570" s="142"/>
      <c r="P570" s="142"/>
      <c r="Q570" s="338"/>
      <c r="R570" s="339"/>
      <c r="X570" s="1"/>
    </row>
    <row r="571" spans="1:24" ht="16.899999999999999" customHeight="1" x14ac:dyDescent="0.3">
      <c r="A571" s="229"/>
      <c r="B571" s="504" t="s">
        <v>42</v>
      </c>
      <c r="C571" s="555"/>
      <c r="D571" s="556"/>
      <c r="E571" s="556"/>
      <c r="F571" s="208" t="s">
        <v>553</v>
      </c>
      <c r="G571" s="330" t="s">
        <v>65</v>
      </c>
      <c r="H571" s="330"/>
      <c r="I571" s="330"/>
      <c r="J571" s="558"/>
      <c r="K571" s="559"/>
      <c r="L571" s="560"/>
      <c r="M571" s="525"/>
      <c r="N571" s="335">
        <f>N572</f>
        <v>1544.5369999999998</v>
      </c>
      <c r="O571" s="142"/>
      <c r="P571" s="142"/>
      <c r="Q571" s="338"/>
      <c r="R571" s="339"/>
      <c r="X571" s="1"/>
    </row>
    <row r="572" spans="1:24" ht="16.899999999999999" customHeight="1" x14ac:dyDescent="0.3">
      <c r="A572" s="229"/>
      <c r="B572" s="118" t="s">
        <v>150</v>
      </c>
      <c r="C572" s="555"/>
      <c r="D572" s="556"/>
      <c r="E572" s="556"/>
      <c r="F572" s="208" t="s">
        <v>553</v>
      </c>
      <c r="G572" s="330" t="s">
        <v>65</v>
      </c>
      <c r="H572" s="330" t="s">
        <v>285</v>
      </c>
      <c r="I572" s="330" t="s">
        <v>320</v>
      </c>
      <c r="J572" s="558"/>
      <c r="K572" s="559"/>
      <c r="L572" s="560"/>
      <c r="M572" s="525"/>
      <c r="N572" s="335">
        <f>600+186.207+270+124.301+57.817+192+15.405+59.23+39.577</f>
        <v>1544.5369999999998</v>
      </c>
      <c r="O572" s="142"/>
      <c r="P572" s="142"/>
      <c r="Q572" s="338"/>
      <c r="R572" s="339"/>
      <c r="X572" s="1"/>
    </row>
    <row r="573" spans="1:24" ht="26.15" customHeight="1" x14ac:dyDescent="0.3">
      <c r="A573" s="229"/>
      <c r="B573" s="562" t="s">
        <v>561</v>
      </c>
      <c r="C573" s="555"/>
      <c r="D573" s="556"/>
      <c r="E573" s="556"/>
      <c r="F573" s="563" t="s">
        <v>558</v>
      </c>
      <c r="G573" s="556"/>
      <c r="H573" s="556"/>
      <c r="I573" s="556"/>
      <c r="J573" s="564">
        <f>J574+J576</f>
        <v>600.79999999999995</v>
      </c>
      <c r="K573" s="565"/>
      <c r="L573" s="566">
        <f>L574+L576</f>
        <v>605.88300000000004</v>
      </c>
      <c r="M573" s="567">
        <f>M574+M576</f>
        <v>605.88300000000004</v>
      </c>
      <c r="N573" s="568">
        <f>N574+N576</f>
        <v>834.7</v>
      </c>
      <c r="O573" s="142"/>
      <c r="P573" s="142"/>
      <c r="Q573" s="569">
        <f>Q574+Q576</f>
        <v>844.2</v>
      </c>
      <c r="R573" s="570">
        <f>R575+R577</f>
        <v>874.4</v>
      </c>
      <c r="S573" s="10">
        <v>106.9</v>
      </c>
      <c r="T573" s="10">
        <v>88.4</v>
      </c>
      <c r="U573" s="10">
        <v>874.4</v>
      </c>
      <c r="X573" s="1"/>
    </row>
    <row r="574" spans="1:24" ht="16.899999999999999" customHeight="1" x14ac:dyDescent="0.3">
      <c r="A574" s="229"/>
      <c r="B574" s="118" t="s">
        <v>471</v>
      </c>
      <c r="C574" s="538"/>
      <c r="D574" s="539"/>
      <c r="E574" s="539"/>
      <c r="F574" s="130" t="s">
        <v>558</v>
      </c>
      <c r="G574" s="111" t="s">
        <v>64</v>
      </c>
      <c r="H574" s="111"/>
      <c r="I574" s="539"/>
      <c r="J574" s="99">
        <f>J575</f>
        <v>493.39</v>
      </c>
      <c r="K574" s="571"/>
      <c r="L574" s="99">
        <v>555.32000000000005</v>
      </c>
      <c r="M574" s="263">
        <v>555.32000000000005</v>
      </c>
      <c r="N574" s="253">
        <f>N575</f>
        <v>763.29611</v>
      </c>
      <c r="O574" s="142"/>
      <c r="P574" s="142"/>
      <c r="Q574" s="254">
        <f>Q575</f>
        <v>816.62400000000002</v>
      </c>
      <c r="R574" s="255">
        <f>R575</f>
        <v>846.82399999999996</v>
      </c>
      <c r="X574" s="1"/>
    </row>
    <row r="575" spans="1:24" ht="16.899999999999999" customHeight="1" x14ac:dyDescent="0.3">
      <c r="A575" s="229"/>
      <c r="B575" s="118" t="s">
        <v>92</v>
      </c>
      <c r="C575" s="538"/>
      <c r="D575" s="539"/>
      <c r="E575" s="539"/>
      <c r="F575" s="130" t="s">
        <v>558</v>
      </c>
      <c r="G575" s="111" t="s">
        <v>64</v>
      </c>
      <c r="H575" s="111" t="s">
        <v>380</v>
      </c>
      <c r="I575" s="111" t="s">
        <v>340</v>
      </c>
      <c r="J575" s="99">
        <f>378.948+114.442</f>
        <v>493.39</v>
      </c>
      <c r="K575" s="571"/>
      <c r="L575" s="99">
        <v>555.32000000000005</v>
      </c>
      <c r="M575" s="263">
        <v>555.32000000000005</v>
      </c>
      <c r="N575" s="253">
        <f>807.124-43.82789</f>
        <v>763.29611</v>
      </c>
      <c r="O575" s="142"/>
      <c r="P575" s="142"/>
      <c r="Q575" s="254">
        <v>816.62400000000002</v>
      </c>
      <c r="R575" s="255">
        <v>846.82399999999996</v>
      </c>
      <c r="S575" s="10">
        <v>807.13300000000004</v>
      </c>
      <c r="T575" s="10">
        <v>816.63300000000004</v>
      </c>
      <c r="U575" s="10">
        <v>846.83299999999997</v>
      </c>
      <c r="X575" s="1"/>
    </row>
    <row r="576" spans="1:24" ht="16.899999999999999" customHeight="1" x14ac:dyDescent="0.3">
      <c r="A576" s="229"/>
      <c r="B576" s="262" t="s">
        <v>283</v>
      </c>
      <c r="C576" s="538"/>
      <c r="D576" s="539"/>
      <c r="E576" s="539"/>
      <c r="F576" s="130" t="s">
        <v>558</v>
      </c>
      <c r="G576" s="111" t="s">
        <v>65</v>
      </c>
      <c r="H576" s="111"/>
      <c r="I576" s="111"/>
      <c r="J576" s="572">
        <f>J577</f>
        <v>107.41</v>
      </c>
      <c r="K576" s="571"/>
      <c r="L576" s="571">
        <v>50.563000000000002</v>
      </c>
      <c r="M576" s="573">
        <v>50.563000000000002</v>
      </c>
      <c r="N576" s="444">
        <f>N577</f>
        <v>71.40388999999999</v>
      </c>
      <c r="O576" s="142"/>
      <c r="P576" s="142"/>
      <c r="Q576" s="281">
        <f>Q577</f>
        <v>27.576000000000001</v>
      </c>
      <c r="R576" s="282">
        <f>R577</f>
        <v>27.576000000000001</v>
      </c>
      <c r="U576" s="10">
        <v>27.567</v>
      </c>
      <c r="X576" s="1"/>
    </row>
    <row r="577" spans="1:24" ht="16.899999999999999" customHeight="1" x14ac:dyDescent="0.25">
      <c r="A577" s="229"/>
      <c r="B577" s="574" t="s">
        <v>562</v>
      </c>
      <c r="C577" s="538"/>
      <c r="D577" s="539"/>
      <c r="E577" s="539"/>
      <c r="F577" s="130" t="s">
        <v>558</v>
      </c>
      <c r="G577" s="111" t="s">
        <v>65</v>
      </c>
      <c r="H577" s="111" t="s">
        <v>380</v>
      </c>
      <c r="I577" s="111" t="s">
        <v>340</v>
      </c>
      <c r="J577" s="99">
        <f>86.41+21</f>
        <v>107.41</v>
      </c>
      <c r="K577" s="571"/>
      <c r="L577" s="571">
        <v>50.563000000000002</v>
      </c>
      <c r="M577" s="573">
        <v>50.563000000000002</v>
      </c>
      <c r="N577" s="253">
        <f>27.576+43.82789</f>
        <v>71.40388999999999</v>
      </c>
      <c r="O577" s="142"/>
      <c r="P577" s="142"/>
      <c r="Q577" s="255">
        <v>27.576000000000001</v>
      </c>
      <c r="R577" s="255">
        <v>27.576000000000001</v>
      </c>
      <c r="X577" s="1"/>
    </row>
    <row r="578" spans="1:24" ht="22.5" customHeight="1" x14ac:dyDescent="0.25">
      <c r="A578" s="229"/>
      <c r="B578" s="575" t="s">
        <v>563</v>
      </c>
      <c r="C578" s="555"/>
      <c r="D578" s="556"/>
      <c r="E578" s="556"/>
      <c r="F578" s="563" t="s">
        <v>564</v>
      </c>
      <c r="G578" s="330"/>
      <c r="H578" s="330"/>
      <c r="I578" s="330"/>
      <c r="J578" s="576"/>
      <c r="K578" s="565"/>
      <c r="L578" s="565"/>
      <c r="M578" s="234"/>
      <c r="N578" s="517">
        <f>N579</f>
        <v>139.4</v>
      </c>
      <c r="O578" s="142"/>
      <c r="P578" s="142"/>
      <c r="Q578" s="521"/>
      <c r="R578" s="339"/>
      <c r="X578" s="1"/>
    </row>
    <row r="579" spans="1:24" ht="16.899999999999999" customHeight="1" x14ac:dyDescent="0.3">
      <c r="A579" s="229"/>
      <c r="B579" s="118" t="s">
        <v>471</v>
      </c>
      <c r="C579" s="555"/>
      <c r="D579" s="556"/>
      <c r="E579" s="556"/>
      <c r="F579" s="557" t="s">
        <v>564</v>
      </c>
      <c r="G579" s="330" t="s">
        <v>64</v>
      </c>
      <c r="H579" s="154"/>
      <c r="I579" s="154"/>
      <c r="J579" s="576"/>
      <c r="K579" s="565"/>
      <c r="L579" s="565"/>
      <c r="M579" s="234"/>
      <c r="N579" s="335">
        <f>N580</f>
        <v>139.4</v>
      </c>
      <c r="O579" s="142"/>
      <c r="P579" s="142"/>
      <c r="Q579" s="521"/>
      <c r="R579" s="339"/>
      <c r="X579" s="1"/>
    </row>
    <row r="580" spans="1:24" ht="16.899999999999999" customHeight="1" x14ac:dyDescent="0.3">
      <c r="A580" s="229"/>
      <c r="B580" s="298" t="s">
        <v>82</v>
      </c>
      <c r="C580" s="555"/>
      <c r="D580" s="556"/>
      <c r="E580" s="556"/>
      <c r="F580" s="557" t="s">
        <v>564</v>
      </c>
      <c r="G580" s="330" t="s">
        <v>64</v>
      </c>
      <c r="H580" s="330" t="s">
        <v>320</v>
      </c>
      <c r="I580" s="330" t="s">
        <v>509</v>
      </c>
      <c r="J580" s="576"/>
      <c r="K580" s="565"/>
      <c r="L580" s="565"/>
      <c r="M580" s="234"/>
      <c r="N580" s="335">
        <v>139.4</v>
      </c>
      <c r="O580" s="142"/>
      <c r="P580" s="142"/>
      <c r="Q580" s="521"/>
      <c r="R580" s="339"/>
      <c r="X580" s="1"/>
    </row>
    <row r="581" spans="1:24" ht="16.899999999999999" hidden="1" customHeight="1" x14ac:dyDescent="0.25">
      <c r="A581" s="229"/>
      <c r="B581" s="577"/>
      <c r="C581" s="555"/>
      <c r="D581" s="556"/>
      <c r="E581" s="556"/>
      <c r="F581" s="557" t="s">
        <v>564</v>
      </c>
      <c r="G581" s="330" t="s">
        <v>64</v>
      </c>
      <c r="H581" s="330"/>
      <c r="I581" s="330"/>
      <c r="J581" s="576"/>
      <c r="K581" s="565"/>
      <c r="L581" s="565"/>
      <c r="M581" s="234"/>
      <c r="N581" s="335"/>
      <c r="O581" s="142"/>
      <c r="P581" s="142"/>
      <c r="Q581" s="521"/>
      <c r="R581" s="339"/>
      <c r="X581" s="1"/>
    </row>
    <row r="582" spans="1:24" ht="16.899999999999999" hidden="1" customHeight="1" x14ac:dyDescent="0.25">
      <c r="A582" s="229"/>
      <c r="B582" s="577"/>
      <c r="C582" s="555"/>
      <c r="D582" s="556"/>
      <c r="E582" s="556"/>
      <c r="F582" s="557" t="s">
        <v>564</v>
      </c>
      <c r="G582" s="330" t="s">
        <v>64</v>
      </c>
      <c r="H582" s="330"/>
      <c r="I582" s="330"/>
      <c r="J582" s="576"/>
      <c r="K582" s="565"/>
      <c r="L582" s="565"/>
      <c r="M582" s="234"/>
      <c r="N582" s="335"/>
      <c r="O582" s="142"/>
      <c r="P582" s="142"/>
      <c r="Q582" s="521"/>
      <c r="R582" s="339"/>
      <c r="X582" s="1"/>
    </row>
    <row r="583" spans="1:24" ht="25" customHeight="1" x14ac:dyDescent="0.25">
      <c r="A583" s="229"/>
      <c r="B583" s="578" t="s">
        <v>565</v>
      </c>
      <c r="C583" s="330"/>
      <c r="D583" s="331"/>
      <c r="E583" s="330"/>
      <c r="F583" s="579" t="s">
        <v>566</v>
      </c>
      <c r="G583" s="331"/>
      <c r="H583" s="331"/>
      <c r="I583" s="330"/>
      <c r="J583" s="332"/>
      <c r="K583" s="332"/>
      <c r="L583" s="332"/>
      <c r="M583" s="454"/>
      <c r="N583" s="517">
        <f>N584</f>
        <v>100</v>
      </c>
      <c r="O583" s="142"/>
      <c r="P583" s="142"/>
      <c r="Q583" s="561"/>
      <c r="R583" s="520"/>
      <c r="X583" s="1"/>
    </row>
    <row r="584" spans="1:24" ht="16.899999999999999" customHeight="1" x14ac:dyDescent="0.3">
      <c r="A584" s="229"/>
      <c r="B584" s="262" t="s">
        <v>283</v>
      </c>
      <c r="C584" s="83"/>
      <c r="D584" s="111" t="s">
        <v>119</v>
      </c>
      <c r="E584" s="111" t="s">
        <v>121</v>
      </c>
      <c r="F584" s="111" t="s">
        <v>566</v>
      </c>
      <c r="G584" s="101">
        <v>240</v>
      </c>
      <c r="H584" s="101"/>
      <c r="I584" s="99"/>
      <c r="J584" s="95"/>
      <c r="K584" s="99"/>
      <c r="L584" s="99"/>
      <c r="M584" s="73"/>
      <c r="N584" s="253">
        <f>N585</f>
        <v>100</v>
      </c>
      <c r="O584" s="142"/>
      <c r="P584" s="142"/>
      <c r="Q584" s="254"/>
      <c r="R584" s="255"/>
      <c r="X584" s="1"/>
    </row>
    <row r="585" spans="1:24" ht="16.899999999999999" customHeight="1" x14ac:dyDescent="0.3">
      <c r="A585" s="229"/>
      <c r="B585" s="112" t="s">
        <v>192</v>
      </c>
      <c r="C585" s="83"/>
      <c r="D585" s="111"/>
      <c r="E585" s="111"/>
      <c r="F585" s="111" t="s">
        <v>566</v>
      </c>
      <c r="G585" s="101">
        <v>240</v>
      </c>
      <c r="H585" s="111" t="s">
        <v>285</v>
      </c>
      <c r="I585" s="111" t="s">
        <v>340</v>
      </c>
      <c r="J585" s="95"/>
      <c r="K585" s="99"/>
      <c r="L585" s="99"/>
      <c r="M585" s="73"/>
      <c r="N585" s="253">
        <v>100</v>
      </c>
      <c r="O585" s="142"/>
      <c r="P585" s="142"/>
      <c r="Q585" s="254"/>
      <c r="R585" s="255"/>
      <c r="X585" s="1"/>
    </row>
    <row r="586" spans="1:24" ht="39.65" customHeight="1" x14ac:dyDescent="0.3">
      <c r="A586" s="580"/>
      <c r="B586" s="581" t="s">
        <v>567</v>
      </c>
      <c r="C586" s="293"/>
      <c r="D586" s="208"/>
      <c r="E586" s="208"/>
      <c r="F586" s="110" t="s">
        <v>568</v>
      </c>
      <c r="G586" s="111"/>
      <c r="H586" s="111"/>
      <c r="I586" s="582"/>
      <c r="J586" s="191"/>
      <c r="K586" s="192"/>
      <c r="L586" s="583"/>
      <c r="M586" s="584">
        <f>M587</f>
        <v>139.6</v>
      </c>
      <c r="N586" s="248">
        <f>N587</f>
        <v>131</v>
      </c>
      <c r="O586" s="142"/>
      <c r="P586" s="142"/>
      <c r="Q586" s="250">
        <f>Q587</f>
        <v>0</v>
      </c>
      <c r="R586" s="251">
        <f>R587</f>
        <v>0</v>
      </c>
      <c r="X586" s="1"/>
    </row>
    <row r="587" spans="1:24" ht="16" customHeight="1" x14ac:dyDescent="0.3">
      <c r="A587" s="585"/>
      <c r="B587" s="118" t="s">
        <v>471</v>
      </c>
      <c r="C587" s="586"/>
      <c r="D587" s="587"/>
      <c r="E587" s="587"/>
      <c r="F587" s="330" t="s">
        <v>568</v>
      </c>
      <c r="G587" s="330" t="s">
        <v>64</v>
      </c>
      <c r="H587" s="330"/>
      <c r="I587" s="588"/>
      <c r="J587" s="559"/>
      <c r="K587" s="560"/>
      <c r="L587" s="524"/>
      <c r="M587" s="589">
        <f>M588</f>
        <v>139.6</v>
      </c>
      <c r="N587" s="253">
        <f>N588</f>
        <v>131</v>
      </c>
      <c r="O587" s="142"/>
      <c r="P587" s="142"/>
      <c r="Q587" s="296">
        <f>Q588</f>
        <v>0</v>
      </c>
      <c r="R587" s="255">
        <f>R588</f>
        <v>0</v>
      </c>
      <c r="X587" s="1"/>
    </row>
    <row r="588" spans="1:24" ht="16.899999999999999" customHeight="1" x14ac:dyDescent="0.3">
      <c r="A588" s="580"/>
      <c r="B588" s="298" t="s">
        <v>82</v>
      </c>
      <c r="C588" s="293"/>
      <c r="D588" s="208"/>
      <c r="E588" s="208"/>
      <c r="F588" s="111" t="s">
        <v>568</v>
      </c>
      <c r="G588" s="111" t="s">
        <v>64</v>
      </c>
      <c r="H588" s="111" t="s">
        <v>320</v>
      </c>
      <c r="I588" s="111" t="s">
        <v>509</v>
      </c>
      <c r="J588" s="191"/>
      <c r="K588" s="192"/>
      <c r="L588" s="190"/>
      <c r="M588" s="295">
        <v>139.6</v>
      </c>
      <c r="N588" s="253">
        <v>131</v>
      </c>
      <c r="O588" s="142"/>
      <c r="P588" s="142"/>
      <c r="Q588" s="296"/>
      <c r="R588" s="255"/>
      <c r="X588" s="1"/>
    </row>
    <row r="589" spans="1:24" ht="22" hidden="1" customHeight="1" x14ac:dyDescent="0.3">
      <c r="A589" s="580"/>
      <c r="B589" s="590" t="s">
        <v>321</v>
      </c>
      <c r="C589" s="293"/>
      <c r="D589" s="208"/>
      <c r="E589" s="208"/>
      <c r="F589" s="110" t="s">
        <v>569</v>
      </c>
      <c r="G589" s="111"/>
      <c r="H589" s="111"/>
      <c r="I589" s="111"/>
      <c r="J589" s="294"/>
      <c r="K589" s="192"/>
      <c r="L589" s="190"/>
      <c r="M589" s="295"/>
      <c r="N589" s="253">
        <f>N590</f>
        <v>0</v>
      </c>
      <c r="O589" s="142"/>
      <c r="P589" s="142"/>
      <c r="Q589" s="296">
        <f>Q590</f>
        <v>0</v>
      </c>
      <c r="R589" s="255">
        <f>R590</f>
        <v>0</v>
      </c>
      <c r="X589" s="1"/>
    </row>
    <row r="590" spans="1:24" ht="16.899999999999999" hidden="1" customHeight="1" x14ac:dyDescent="0.3">
      <c r="A590" s="580"/>
      <c r="B590" s="297" t="s">
        <v>230</v>
      </c>
      <c r="C590" s="293"/>
      <c r="D590" s="208"/>
      <c r="E590" s="208"/>
      <c r="F590" s="111" t="s">
        <v>569</v>
      </c>
      <c r="G590" s="111" t="s">
        <v>231</v>
      </c>
      <c r="H590" s="111"/>
      <c r="I590" s="111"/>
      <c r="J590" s="294"/>
      <c r="K590" s="192"/>
      <c r="L590" s="190"/>
      <c r="M590" s="295"/>
      <c r="N590" s="253">
        <f>N591</f>
        <v>0</v>
      </c>
      <c r="O590" s="142"/>
      <c r="P590" s="142"/>
      <c r="Q590" s="296">
        <f>Q591</f>
        <v>0</v>
      </c>
      <c r="R590" s="255">
        <f>R591</f>
        <v>0</v>
      </c>
      <c r="X590" s="1"/>
    </row>
    <row r="591" spans="1:24" ht="16.899999999999999" hidden="1" customHeight="1" x14ac:dyDescent="0.3">
      <c r="A591" s="580"/>
      <c r="B591" s="298" t="s">
        <v>224</v>
      </c>
      <c r="C591" s="293"/>
      <c r="D591" s="208"/>
      <c r="E591" s="208"/>
      <c r="F591" s="111" t="s">
        <v>569</v>
      </c>
      <c r="G591" s="111" t="s">
        <v>231</v>
      </c>
      <c r="H591" s="111" t="s">
        <v>319</v>
      </c>
      <c r="I591" s="111" t="s">
        <v>320</v>
      </c>
      <c r="J591" s="294"/>
      <c r="K591" s="192"/>
      <c r="L591" s="190"/>
      <c r="M591" s="295"/>
      <c r="N591" s="253"/>
      <c r="O591" s="142"/>
      <c r="P591" s="142"/>
      <c r="Q591" s="296"/>
      <c r="R591" s="255"/>
      <c r="X591" s="1"/>
    </row>
    <row r="592" spans="1:24" ht="13" x14ac:dyDescent="0.3">
      <c r="A592" s="229"/>
      <c r="B592" s="591" t="s">
        <v>570</v>
      </c>
      <c r="C592" s="138"/>
      <c r="D592" s="111"/>
      <c r="E592" s="111"/>
      <c r="F592" s="110" t="s">
        <v>571</v>
      </c>
      <c r="G592" s="89"/>
      <c r="H592" s="89"/>
      <c r="I592" s="111"/>
      <c r="J592" s="190">
        <f>J593</f>
        <v>1109.2180000000001</v>
      </c>
      <c r="K592" s="191"/>
      <c r="L592" s="192"/>
      <c r="M592" s="484"/>
      <c r="N592" s="257">
        <f t="shared" ref="N592:R593" si="137">N593</f>
        <v>761.29</v>
      </c>
      <c r="O592" s="194">
        <f t="shared" si="137"/>
        <v>799.11500000000001</v>
      </c>
      <c r="P592" s="194">
        <f t="shared" si="137"/>
        <v>895.01</v>
      </c>
      <c r="Q592" s="506">
        <f t="shared" si="137"/>
        <v>947.01</v>
      </c>
      <c r="R592" s="507">
        <f t="shared" si="137"/>
        <v>947.01</v>
      </c>
      <c r="X592" s="1"/>
    </row>
    <row r="593" spans="1:24" ht="16.899999999999999" customHeight="1" x14ac:dyDescent="0.3">
      <c r="A593" s="229"/>
      <c r="B593" s="262" t="s">
        <v>283</v>
      </c>
      <c r="C593" s="138"/>
      <c r="D593" s="111"/>
      <c r="E593" s="111"/>
      <c r="F593" s="111" t="s">
        <v>571</v>
      </c>
      <c r="G593" s="111" t="s">
        <v>65</v>
      </c>
      <c r="H593" s="111"/>
      <c r="I593" s="111"/>
      <c r="J593" s="190">
        <f>J594</f>
        <v>1109.2180000000001</v>
      </c>
      <c r="K593" s="191"/>
      <c r="L593" s="192"/>
      <c r="M593" s="484"/>
      <c r="N593" s="279">
        <f t="shared" si="137"/>
        <v>761.29</v>
      </c>
      <c r="O593" s="194">
        <f t="shared" si="137"/>
        <v>799.11500000000001</v>
      </c>
      <c r="P593" s="194">
        <f t="shared" si="137"/>
        <v>895.01</v>
      </c>
      <c r="Q593" s="485">
        <f t="shared" si="137"/>
        <v>947.01</v>
      </c>
      <c r="R593" s="486">
        <f t="shared" si="137"/>
        <v>947.01</v>
      </c>
      <c r="X593" s="1"/>
    </row>
    <row r="594" spans="1:24" ht="12.75" customHeight="1" thickBot="1" x14ac:dyDescent="0.35">
      <c r="A594" s="592"/>
      <c r="B594" s="593" t="s">
        <v>150</v>
      </c>
      <c r="C594" s="594"/>
      <c r="D594" s="595"/>
      <c r="E594" s="595"/>
      <c r="F594" s="595" t="s">
        <v>571</v>
      </c>
      <c r="G594" s="595" t="s">
        <v>65</v>
      </c>
      <c r="H594" s="595" t="s">
        <v>285</v>
      </c>
      <c r="I594" s="595" t="s">
        <v>320</v>
      </c>
      <c r="J594" s="596">
        <v>1109.2180000000001</v>
      </c>
      <c r="K594" s="597"/>
      <c r="L594" s="598"/>
      <c r="M594" s="599"/>
      <c r="N594" s="600">
        <f>947.01-185.72</f>
        <v>761.29</v>
      </c>
      <c r="O594" s="601">
        <v>799.11500000000001</v>
      </c>
      <c r="P594" s="602">
        <v>895.01</v>
      </c>
      <c r="Q594" s="603">
        <v>947.01</v>
      </c>
      <c r="R594" s="604">
        <v>947.01</v>
      </c>
      <c r="X594" s="1"/>
    </row>
    <row r="595" spans="1:24" ht="26" hidden="1" x14ac:dyDescent="0.3">
      <c r="A595" s="328"/>
      <c r="B595" s="562" t="s">
        <v>561</v>
      </c>
      <c r="C595" s="555"/>
      <c r="D595" s="556"/>
      <c r="E595" s="556"/>
      <c r="F595" s="563" t="s">
        <v>558</v>
      </c>
      <c r="G595" s="556"/>
      <c r="H595" s="556"/>
      <c r="I595" s="556"/>
      <c r="J595" s="564">
        <f>J596+J598</f>
        <v>600.79999999999995</v>
      </c>
      <c r="K595" s="565"/>
      <c r="L595" s="566">
        <f t="shared" ref="L595:R595" si="138">L596+L598</f>
        <v>605.88300000000004</v>
      </c>
      <c r="M595" s="566">
        <f t="shared" si="138"/>
        <v>605.88300000000004</v>
      </c>
      <c r="N595" s="605">
        <f t="shared" si="138"/>
        <v>0</v>
      </c>
      <c r="O595" s="606">
        <f t="shared" si="138"/>
        <v>600.79999999999995</v>
      </c>
      <c r="P595" s="607">
        <f t="shared" si="138"/>
        <v>600.79999999999995</v>
      </c>
      <c r="Q595" s="608">
        <f t="shared" si="138"/>
        <v>0</v>
      </c>
      <c r="R595" s="608">
        <f t="shared" si="138"/>
        <v>0</v>
      </c>
      <c r="X595" s="1"/>
    </row>
    <row r="596" spans="1:24" ht="13" hidden="1" x14ac:dyDescent="0.3">
      <c r="A596" s="229"/>
      <c r="B596" s="118" t="s">
        <v>471</v>
      </c>
      <c r="C596" s="538"/>
      <c r="D596" s="539"/>
      <c r="E596" s="539"/>
      <c r="F596" s="130" t="s">
        <v>558</v>
      </c>
      <c r="G596" s="111" t="s">
        <v>64</v>
      </c>
      <c r="H596" s="111"/>
      <c r="I596" s="539"/>
      <c r="J596" s="99">
        <f>J597</f>
        <v>493.39</v>
      </c>
      <c r="K596" s="571"/>
      <c r="L596" s="99">
        <v>555.32000000000005</v>
      </c>
      <c r="M596" s="99">
        <v>555.32000000000005</v>
      </c>
      <c r="N596" s="609">
        <f>N597</f>
        <v>0</v>
      </c>
      <c r="O596" s="142">
        <f>O597</f>
        <v>493.39</v>
      </c>
      <c r="P596" s="109">
        <f>P597</f>
        <v>493.39</v>
      </c>
      <c r="Q596" s="610">
        <f>Q597</f>
        <v>0</v>
      </c>
      <c r="R596" s="610">
        <f>R597</f>
        <v>0</v>
      </c>
      <c r="X596" s="1"/>
    </row>
    <row r="597" spans="1:24" ht="13" hidden="1" x14ac:dyDescent="0.3">
      <c r="A597" s="229"/>
      <c r="B597" s="118" t="s">
        <v>92</v>
      </c>
      <c r="C597" s="538"/>
      <c r="D597" s="539"/>
      <c r="E597" s="539"/>
      <c r="F597" s="130" t="s">
        <v>558</v>
      </c>
      <c r="G597" s="111" t="s">
        <v>64</v>
      </c>
      <c r="H597" s="111" t="s">
        <v>380</v>
      </c>
      <c r="I597" s="111" t="s">
        <v>340</v>
      </c>
      <c r="J597" s="99">
        <f>378.948+114.442</f>
        <v>493.39</v>
      </c>
      <c r="K597" s="571"/>
      <c r="L597" s="99">
        <v>555.32000000000005</v>
      </c>
      <c r="M597" s="99">
        <v>555.32000000000005</v>
      </c>
      <c r="N597" s="609"/>
      <c r="O597" s="142">
        <f>378.948+114.442</f>
        <v>493.39</v>
      </c>
      <c r="P597" s="109">
        <f>378.948+114.442</f>
        <v>493.39</v>
      </c>
      <c r="Q597" s="610"/>
      <c r="R597" s="610"/>
      <c r="X597" s="1"/>
    </row>
    <row r="598" spans="1:24" ht="26" hidden="1" x14ac:dyDescent="0.3">
      <c r="A598" s="229"/>
      <c r="B598" s="262" t="s">
        <v>283</v>
      </c>
      <c r="C598" s="538"/>
      <c r="D598" s="539"/>
      <c r="E598" s="539"/>
      <c r="F598" s="130" t="s">
        <v>558</v>
      </c>
      <c r="G598" s="111" t="s">
        <v>65</v>
      </c>
      <c r="H598" s="111"/>
      <c r="I598" s="111"/>
      <c r="J598" s="572">
        <f>J599</f>
        <v>107.41</v>
      </c>
      <c r="K598" s="571"/>
      <c r="L598" s="571">
        <v>50.563000000000002</v>
      </c>
      <c r="M598" s="571">
        <v>50.563000000000002</v>
      </c>
      <c r="N598" s="611">
        <f>N599</f>
        <v>0</v>
      </c>
      <c r="O598" s="549">
        <f>O599</f>
        <v>107.41</v>
      </c>
      <c r="P598" s="550">
        <f>P599</f>
        <v>107.41</v>
      </c>
      <c r="Q598" s="612">
        <f>Q599</f>
        <v>0</v>
      </c>
      <c r="R598" s="612">
        <f>R599</f>
        <v>0</v>
      </c>
      <c r="X598" s="1"/>
    </row>
    <row r="599" spans="1:24" ht="13.5" hidden="1" thickBot="1" x14ac:dyDescent="0.3">
      <c r="A599" s="592"/>
      <c r="B599" s="613" t="s">
        <v>562</v>
      </c>
      <c r="C599" s="614"/>
      <c r="D599" s="615"/>
      <c r="E599" s="615"/>
      <c r="F599" s="616" t="s">
        <v>558</v>
      </c>
      <c r="G599" s="595" t="s">
        <v>65</v>
      </c>
      <c r="H599" s="595" t="s">
        <v>380</v>
      </c>
      <c r="I599" s="595" t="s">
        <v>340</v>
      </c>
      <c r="J599" s="617">
        <f>86.41+21</f>
        <v>107.41</v>
      </c>
      <c r="K599" s="618"/>
      <c r="L599" s="618">
        <v>50.563000000000002</v>
      </c>
      <c r="M599" s="618">
        <v>50.563000000000002</v>
      </c>
      <c r="N599" s="619"/>
      <c r="O599" s="142">
        <f>86.41+21</f>
        <v>107.41</v>
      </c>
      <c r="P599" s="109">
        <f>86.41+21</f>
        <v>107.41</v>
      </c>
      <c r="Q599" s="620"/>
      <c r="R599" s="620"/>
      <c r="X599" s="1"/>
    </row>
    <row r="600" spans="1:24" x14ac:dyDescent="0.25">
      <c r="X600" s="1"/>
    </row>
    <row r="601" spans="1:24" x14ac:dyDescent="0.25">
      <c r="S601" s="10">
        <v>170.6</v>
      </c>
      <c r="T601" s="10">
        <v>152.1</v>
      </c>
      <c r="U601" s="10">
        <v>938.1</v>
      </c>
    </row>
  </sheetData>
  <mergeCells count="25">
    <mergeCell ref="G133:J133"/>
    <mergeCell ref="G134:J134"/>
    <mergeCell ref="G519:J519"/>
    <mergeCell ref="G520:J520"/>
    <mergeCell ref="G556:J556"/>
    <mergeCell ref="G557:J557"/>
    <mergeCell ref="B18:J18"/>
    <mergeCell ref="A19:R19"/>
    <mergeCell ref="A20:R20"/>
    <mergeCell ref="A21:R21"/>
    <mergeCell ref="A22:R22"/>
    <mergeCell ref="A23:R23"/>
    <mergeCell ref="I8:N8"/>
    <mergeCell ref="Q8:R8"/>
    <mergeCell ref="F9:N9"/>
    <mergeCell ref="Q9:R9"/>
    <mergeCell ref="Q10:R10"/>
    <mergeCell ref="G11:N11"/>
    <mergeCell ref="Q11:R11"/>
    <mergeCell ref="R1:T1"/>
    <mergeCell ref="Q2:R2"/>
    <mergeCell ref="Q3:R3"/>
    <mergeCell ref="Q4:R4"/>
    <mergeCell ref="Q5:T5"/>
    <mergeCell ref="B7:O7"/>
  </mergeCells>
  <pageMargins left="0.59055118110236227" right="0.59055118110236227" top="0.31496062992125984" bottom="0.31496062992125984" header="0.31496062992125984" footer="0.31496062992125984"/>
  <pageSetup paperSize="9" scale="41" firstPageNumber="55" fitToHeight="3" orientation="portrait" useFirstPageNumber="1" r:id="rId1"/>
  <headerFooter alignWithMargins="0"/>
  <rowBreaks count="1" manualBreakCount="1">
    <brk id="2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 2019-2021</vt:lpstr>
      <vt:lpstr>'прил 3 2019-2021'!Область_печати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2020-04-10T11:27:22Z</dcterms:created>
  <dcterms:modified xsi:type="dcterms:W3CDTF">2020-04-10T11:27:51Z</dcterms:modified>
</cp:coreProperties>
</file>